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3.xml" ContentType="application/vnd.openxmlformats-officedocument.drawing+xml"/>
  <Override PartName="/xl/comments7.xml" ContentType="application/vnd.openxmlformats-officedocument.spreadsheetml.comments+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omments8.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4" rupBuild="21721"/>
  <workbookPr autoCompressPictures="0"/>
  <bookViews>
    <workbookView xWindow="0" yWindow="0" windowWidth="22800" windowHeight="18740" tabRatio="920"/>
  </bookViews>
  <sheets>
    <sheet name="OH -SC SOQPSK (threshold)" sheetId="22" r:id="rId1"/>
    <sheet name="CH parameters" sheetId="43" r:id="rId2"/>
    <sheet name="TA -&gt; GS (SC-SOQPSK)" sheetId="21" r:id="rId3"/>
    <sheet name="GS-&gt;TA (same CH, w UL LNA)" sheetId="40" r:id="rId4"/>
    <sheet name="OH -SC (objective)" sheetId="24" r:id="rId5"/>
    <sheet name="Req EbNo values" sheetId="6" r:id="rId6"/>
    <sheet name="BACKUP" sheetId="44" r:id="rId7"/>
    <sheet name="GS-&gt;TA (same CH, no UL LNA)" sheetId="39" r:id="rId8"/>
    <sheet name="TA -&gt; GS (MC-QAM)" sheetId="26" r:id="rId9"/>
    <sheet name="TA -&gt; GS (MC-QPSK)" sheetId="25" r:id="rId10"/>
    <sheet name="OH -MC 16QAM" sheetId="42" r:id="rId11"/>
    <sheet name="OH -MC QPSK" sheetId="41" r:id="rId12"/>
  </sheets>
  <externalReferences>
    <externalReference r:id="rId13"/>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C28" i="22" l="1"/>
  <c r="C27" i="22"/>
  <c r="C26" i="22"/>
  <c r="C20" i="22"/>
  <c r="E20" i="22"/>
  <c r="C5" i="22"/>
  <c r="D10" i="21"/>
  <c r="M14" i="43"/>
  <c r="L16" i="43"/>
  <c r="M16" i="43"/>
  <c r="L15" i="43"/>
  <c r="M15" i="43"/>
  <c r="D10" i="40"/>
  <c r="D11" i="40"/>
  <c r="R24" i="40"/>
  <c r="R20" i="40"/>
  <c r="R18" i="40"/>
  <c r="R19" i="40"/>
  <c r="L24" i="40"/>
  <c r="L20" i="40"/>
  <c r="L18" i="40"/>
  <c r="L19" i="40"/>
  <c r="C15" i="22"/>
  <c r="C4" i="42"/>
  <c r="C4" i="41"/>
  <c r="C24" i="22"/>
  <c r="C29" i="41"/>
  <c r="C23" i="41"/>
  <c r="C21" i="41"/>
  <c r="C27" i="41"/>
  <c r="C28" i="41"/>
  <c r="F47" i="41"/>
  <c r="F49" i="41"/>
  <c r="C2" i="41"/>
  <c r="F48" i="41"/>
  <c r="C29" i="42"/>
  <c r="C23" i="42"/>
  <c r="C21" i="42"/>
  <c r="C27" i="42"/>
  <c r="C28" i="42"/>
  <c r="C17" i="42"/>
  <c r="C18" i="42"/>
  <c r="F46" i="42"/>
  <c r="F48" i="42"/>
  <c r="F47" i="42"/>
  <c r="C26" i="42"/>
  <c r="C22" i="42"/>
  <c r="C26" i="41"/>
  <c r="C22" i="41"/>
  <c r="C17" i="41"/>
  <c r="C18" i="41"/>
  <c r="C28" i="24"/>
  <c r="C24" i="24"/>
  <c r="C15" i="24"/>
  <c r="C5" i="24"/>
  <c r="C23" i="24"/>
  <c r="C31" i="24"/>
  <c r="C30" i="24"/>
  <c r="C26" i="24"/>
  <c r="C27" i="24"/>
  <c r="C19" i="24"/>
  <c r="C20" i="24"/>
  <c r="C1" i="22"/>
  <c r="C1" i="24"/>
  <c r="C2" i="24"/>
  <c r="C29" i="22"/>
  <c r="C31" i="22"/>
  <c r="C30" i="22"/>
  <c r="C19" i="22"/>
  <c r="G27" i="43"/>
  <c r="E27" i="43"/>
  <c r="C27" i="43"/>
  <c r="G26" i="43"/>
  <c r="E26" i="43"/>
  <c r="C26" i="43"/>
  <c r="B23" i="26"/>
  <c r="F24" i="26"/>
  <c r="F20" i="26"/>
  <c r="B22" i="26"/>
  <c r="F18" i="26"/>
  <c r="F29" i="26"/>
  <c r="F19" i="26"/>
  <c r="F30" i="26"/>
  <c r="B25" i="26"/>
  <c r="B23" i="25"/>
  <c r="I23" i="21"/>
  <c r="B23" i="21"/>
  <c r="D97" i="40"/>
  <c r="J34" i="40"/>
  <c r="J52" i="40"/>
  <c r="J51" i="40"/>
  <c r="D44" i="40"/>
  <c r="D34" i="40"/>
  <c r="D97" i="39"/>
  <c r="J34" i="39"/>
  <c r="D44" i="39"/>
  <c r="K44" i="21"/>
  <c r="D44" i="21"/>
  <c r="D34" i="21"/>
  <c r="D34" i="25"/>
  <c r="P4" i="40"/>
  <c r="J4" i="40"/>
  <c r="Q4" i="39"/>
  <c r="J4" i="39"/>
  <c r="D4" i="25"/>
  <c r="C24" i="41"/>
  <c r="C25" i="41"/>
  <c r="C13" i="41"/>
  <c r="C24" i="42"/>
  <c r="C25" i="42"/>
  <c r="C13" i="42"/>
  <c r="C20" i="42"/>
  <c r="C31" i="41"/>
  <c r="C34" i="41"/>
  <c r="C20" i="41"/>
  <c r="J4" i="21"/>
  <c r="K4" i="21"/>
  <c r="K10" i="21"/>
  <c r="K9" i="21"/>
  <c r="K41" i="21"/>
  <c r="M5" i="21"/>
  <c r="J10" i="21"/>
  <c r="J9" i="21"/>
  <c r="J41" i="21"/>
  <c r="J42" i="21"/>
  <c r="K12" i="21"/>
  <c r="M24" i="21"/>
  <c r="M20" i="21"/>
  <c r="I22" i="21"/>
  <c r="M18" i="21"/>
  <c r="M29" i="21"/>
  <c r="M19" i="21"/>
  <c r="M30" i="21"/>
  <c r="I25" i="21"/>
  <c r="K43" i="21"/>
  <c r="M23" i="21"/>
  <c r="N23" i="21"/>
  <c r="M26" i="21"/>
  <c r="M28" i="21"/>
  <c r="J34" i="21"/>
  <c r="J44" i="21"/>
  <c r="J43" i="21"/>
  <c r="K46" i="21"/>
  <c r="C12" i="6"/>
  <c r="D15" i="6"/>
  <c r="K51" i="21"/>
  <c r="F24" i="21"/>
  <c r="F20" i="21"/>
  <c r="B22" i="21"/>
  <c r="F18" i="21"/>
  <c r="F29" i="21"/>
  <c r="F19" i="21"/>
  <c r="F30" i="21"/>
  <c r="B25" i="21"/>
  <c r="D43" i="21"/>
  <c r="C9" i="6"/>
  <c r="P34" i="40"/>
  <c r="P52" i="40"/>
  <c r="P51" i="40"/>
  <c r="F24" i="25"/>
  <c r="F20" i="25"/>
  <c r="B22" i="25"/>
  <c r="F18" i="25"/>
  <c r="F29" i="25"/>
  <c r="F19" i="25"/>
  <c r="F30" i="25"/>
  <c r="B25" i="25"/>
  <c r="P44" i="40"/>
  <c r="J44" i="40"/>
  <c r="Q44" i="39"/>
  <c r="J44" i="39"/>
  <c r="J52" i="39"/>
  <c r="J51" i="39"/>
  <c r="D44" i="25"/>
  <c r="D52" i="25"/>
  <c r="D51" i="25"/>
  <c r="D44" i="26"/>
  <c r="D57" i="40"/>
  <c r="D99" i="39"/>
  <c r="F83" i="39"/>
  <c r="D57" i="39"/>
  <c r="D46" i="26"/>
  <c r="D10" i="26"/>
  <c r="D9" i="26"/>
  <c r="D4" i="26"/>
  <c r="D41" i="26"/>
  <c r="B17" i="26"/>
  <c r="D42" i="26"/>
  <c r="D46" i="25"/>
  <c r="G53" i="25"/>
  <c r="D10" i="25"/>
  <c r="D9" i="25"/>
  <c r="D46" i="21"/>
  <c r="D4" i="21"/>
  <c r="D9" i="21"/>
  <c r="D41" i="21"/>
  <c r="P46" i="40"/>
  <c r="R30" i="40"/>
  <c r="D47" i="26"/>
  <c r="P47" i="40"/>
  <c r="D47" i="25"/>
  <c r="J47" i="40"/>
  <c r="J46" i="40"/>
  <c r="D50" i="26"/>
  <c r="B17" i="25"/>
  <c r="D50" i="25"/>
  <c r="D99" i="40"/>
  <c r="D46" i="40"/>
  <c r="S24" i="39"/>
  <c r="S20" i="39"/>
  <c r="S30" i="39"/>
  <c r="P25" i="39"/>
  <c r="L24" i="39"/>
  <c r="L20" i="39"/>
  <c r="L30" i="39"/>
  <c r="I25" i="39"/>
  <c r="L25" i="39"/>
  <c r="F24" i="39"/>
  <c r="F20" i="39"/>
  <c r="F30" i="39"/>
  <c r="C25" i="39"/>
  <c r="D43" i="39"/>
  <c r="C18" i="6"/>
  <c r="G20" i="6"/>
  <c r="G21" i="6"/>
  <c r="D50" i="21"/>
  <c r="F28" i="26"/>
  <c r="F77" i="39"/>
  <c r="F73" i="39"/>
  <c r="C78" i="39"/>
  <c r="F73" i="40"/>
  <c r="L30" i="40"/>
  <c r="F30" i="40"/>
  <c r="F20" i="40"/>
  <c r="E2" i="40"/>
  <c r="K2" i="40"/>
  <c r="Q2" i="40"/>
  <c r="D9" i="40"/>
  <c r="J10" i="40"/>
  <c r="J9" i="40"/>
  <c r="J41" i="40"/>
  <c r="P10" i="40"/>
  <c r="P9" i="40"/>
  <c r="D12" i="40"/>
  <c r="J12" i="40"/>
  <c r="P12" i="40"/>
  <c r="F17" i="40"/>
  <c r="L17" i="40"/>
  <c r="R17" i="40"/>
  <c r="F18" i="40"/>
  <c r="F19" i="40"/>
  <c r="F23" i="40"/>
  <c r="G23" i="40"/>
  <c r="L23" i="40"/>
  <c r="M23" i="40"/>
  <c r="R23" i="40"/>
  <c r="S23" i="40"/>
  <c r="F24" i="40"/>
  <c r="F29" i="40"/>
  <c r="C25" i="40"/>
  <c r="F26" i="40"/>
  <c r="L26" i="40"/>
  <c r="R26" i="40"/>
  <c r="F28" i="40"/>
  <c r="L28" i="40"/>
  <c r="R28" i="40"/>
  <c r="L29" i="40"/>
  <c r="I25" i="40"/>
  <c r="R29" i="40"/>
  <c r="O25" i="40"/>
  <c r="P43" i="40"/>
  <c r="D12" i="25"/>
  <c r="D12" i="26"/>
  <c r="D63" i="40"/>
  <c r="D62" i="40"/>
  <c r="D65" i="40"/>
  <c r="F83" i="40"/>
  <c r="F70" i="40"/>
  <c r="F71" i="40"/>
  <c r="F72" i="40"/>
  <c r="F76" i="40"/>
  <c r="G76" i="40"/>
  <c r="F77" i="40"/>
  <c r="F82" i="40"/>
  <c r="C78" i="40"/>
  <c r="D67" i="40"/>
  <c r="F79" i="40"/>
  <c r="F81" i="40"/>
  <c r="B17" i="21"/>
  <c r="D12" i="21"/>
  <c r="E2" i="39"/>
  <c r="K2" i="39"/>
  <c r="R2" i="39"/>
  <c r="D4" i="39"/>
  <c r="D10" i="39"/>
  <c r="D9" i="39"/>
  <c r="J10" i="39"/>
  <c r="J9" i="39"/>
  <c r="Q10" i="39"/>
  <c r="Q9" i="39"/>
  <c r="D12" i="39"/>
  <c r="J12" i="39"/>
  <c r="Q12" i="39"/>
  <c r="D14" i="39"/>
  <c r="F17" i="39"/>
  <c r="L17" i="39"/>
  <c r="S17" i="39"/>
  <c r="F18" i="39"/>
  <c r="L18" i="39"/>
  <c r="S18" i="39"/>
  <c r="F19" i="39"/>
  <c r="F29" i="39"/>
  <c r="F25" i="39"/>
  <c r="G25" i="39"/>
  <c r="D45" i="39"/>
  <c r="L19" i="39"/>
  <c r="S19" i="39"/>
  <c r="F23" i="39"/>
  <c r="G23" i="39"/>
  <c r="L23" i="39"/>
  <c r="M23" i="39"/>
  <c r="S23" i="39"/>
  <c r="T23" i="39"/>
  <c r="F26" i="39"/>
  <c r="L26" i="39"/>
  <c r="S26" i="39"/>
  <c r="F28" i="39"/>
  <c r="L28" i="39"/>
  <c r="S28" i="39"/>
  <c r="L29" i="39"/>
  <c r="S29" i="39"/>
  <c r="D46" i="39"/>
  <c r="J46" i="39"/>
  <c r="M53" i="39"/>
  <c r="Q46" i="39"/>
  <c r="D63" i="39"/>
  <c r="D62" i="39"/>
  <c r="D65" i="39"/>
  <c r="F70" i="39"/>
  <c r="F71" i="39"/>
  <c r="F72" i="39"/>
  <c r="F76" i="39"/>
  <c r="G76" i="39"/>
  <c r="F79" i="39"/>
  <c r="F81" i="39"/>
  <c r="F82" i="39"/>
  <c r="C10" i="21"/>
  <c r="C9" i="21"/>
  <c r="C41" i="21"/>
  <c r="C42" i="21"/>
  <c r="C43" i="21"/>
  <c r="C34" i="21"/>
  <c r="C44" i="21"/>
  <c r="C10" i="25"/>
  <c r="C9" i="25"/>
  <c r="C41" i="25"/>
  <c r="C42" i="25"/>
  <c r="C43" i="25"/>
  <c r="C34" i="25"/>
  <c r="C44" i="25"/>
  <c r="F23" i="21"/>
  <c r="F23" i="25"/>
  <c r="G23" i="25"/>
  <c r="F23" i="26"/>
  <c r="C10" i="26"/>
  <c r="C9" i="26"/>
  <c r="C41" i="26"/>
  <c r="C42" i="26"/>
  <c r="C43" i="26"/>
  <c r="C34" i="26"/>
  <c r="C44" i="26"/>
  <c r="F26" i="26"/>
  <c r="G23" i="26"/>
  <c r="F17" i="26"/>
  <c r="F28" i="25"/>
  <c r="F26" i="25"/>
  <c r="F17" i="25"/>
  <c r="G23" i="21"/>
  <c r="F28" i="21"/>
  <c r="F26" i="21"/>
  <c r="D9" i="6"/>
  <c r="E9" i="6"/>
  <c r="F9" i="6"/>
  <c r="D6" i="6"/>
  <c r="E6" i="6"/>
  <c r="F6" i="6"/>
  <c r="C11" i="6"/>
  <c r="G15" i="6"/>
  <c r="C22" i="24"/>
  <c r="C31" i="25"/>
  <c r="C4" i="21"/>
  <c r="C31" i="26"/>
  <c r="C32" i="26"/>
  <c r="C32" i="25"/>
  <c r="C4" i="25"/>
  <c r="C4" i="26"/>
  <c r="E5" i="6"/>
  <c r="F5" i="6"/>
  <c r="E8" i="6"/>
  <c r="F8" i="6"/>
  <c r="G5" i="25"/>
  <c r="E15" i="6"/>
  <c r="F15" i="6"/>
  <c r="C33" i="24"/>
  <c r="C35" i="24"/>
  <c r="C36" i="24"/>
  <c r="C33" i="22"/>
  <c r="C35" i="22"/>
  <c r="C36" i="22"/>
  <c r="G5" i="21"/>
  <c r="D7" i="6"/>
  <c r="E7" i="6"/>
  <c r="C7" i="6"/>
  <c r="F7" i="6"/>
  <c r="C22" i="22"/>
  <c r="D16" i="6"/>
  <c r="E16" i="6"/>
  <c r="F16" i="6"/>
  <c r="J41" i="39"/>
  <c r="J42" i="39"/>
  <c r="P14" i="40"/>
  <c r="R25" i="40"/>
  <c r="S25" i="40"/>
  <c r="P45" i="40"/>
  <c r="G22" i="6"/>
  <c r="D43" i="25"/>
  <c r="C14" i="25"/>
  <c r="M25" i="21"/>
  <c r="N25" i="21"/>
  <c r="D43" i="26"/>
  <c r="F25" i="26"/>
  <c r="G25" i="26"/>
  <c r="D45" i="26"/>
  <c r="D41" i="39"/>
  <c r="D42" i="39"/>
  <c r="D94" i="39"/>
  <c r="D95" i="39"/>
  <c r="K45" i="21"/>
  <c r="J42" i="40"/>
  <c r="Q41" i="39"/>
  <c r="Q42" i="39"/>
  <c r="D43" i="40"/>
  <c r="F78" i="40"/>
  <c r="G78" i="40"/>
  <c r="D98" i="40"/>
  <c r="D96" i="40"/>
  <c r="D67" i="39"/>
  <c r="J43" i="39"/>
  <c r="M25" i="39"/>
  <c r="J45" i="39"/>
  <c r="J14" i="39"/>
  <c r="F25" i="21"/>
  <c r="G25" i="21"/>
  <c r="D45" i="21"/>
  <c r="F49" i="42"/>
  <c r="C2" i="42"/>
  <c r="F50" i="41"/>
  <c r="F52" i="41"/>
  <c r="J14" i="40"/>
  <c r="D94" i="40"/>
  <c r="D95" i="40"/>
  <c r="D41" i="25"/>
  <c r="D42" i="25"/>
  <c r="P41" i="40"/>
  <c r="P42" i="40"/>
  <c r="C23" i="6"/>
  <c r="C22" i="6"/>
  <c r="C24" i="6"/>
  <c r="J47" i="39"/>
  <c r="C33" i="41"/>
  <c r="D34" i="26"/>
  <c r="D52" i="26"/>
  <c r="D51" i="26"/>
  <c r="Q34" i="39"/>
  <c r="Q52" i="39"/>
  <c r="Q51" i="39"/>
  <c r="M53" i="40"/>
  <c r="C25" i="22"/>
  <c r="C29" i="24"/>
  <c r="C25" i="24"/>
  <c r="F51" i="41"/>
  <c r="C1" i="6"/>
  <c r="G8" i="6"/>
  <c r="M48" i="39"/>
  <c r="G53" i="26"/>
  <c r="T53" i="39"/>
  <c r="F51" i="42"/>
  <c r="F50" i="42"/>
  <c r="G48" i="25"/>
  <c r="G5" i="6"/>
  <c r="G9" i="6"/>
  <c r="L25" i="40"/>
  <c r="M25" i="40"/>
  <c r="J45" i="40"/>
  <c r="J43" i="40"/>
  <c r="M48" i="40"/>
  <c r="D14" i="40"/>
  <c r="F25" i="40"/>
  <c r="G25" i="40"/>
  <c r="D45" i="40"/>
  <c r="Q43" i="39"/>
  <c r="T48" i="39"/>
  <c r="S25" i="39"/>
  <c r="T25" i="39"/>
  <c r="Q45" i="39"/>
  <c r="Q14" i="39"/>
  <c r="F25" i="25"/>
  <c r="G25" i="25"/>
  <c r="D45" i="25"/>
  <c r="D14" i="25"/>
  <c r="D14" i="26"/>
  <c r="C14" i="26"/>
  <c r="G7" i="6"/>
  <c r="G6" i="6"/>
  <c r="D96" i="39"/>
  <c r="F78" i="39"/>
  <c r="G78" i="39"/>
  <c r="D98" i="39"/>
  <c r="C37" i="26"/>
  <c r="C39" i="26"/>
  <c r="C45" i="26"/>
  <c r="D14" i="21"/>
  <c r="C13" i="24"/>
  <c r="C11" i="41"/>
  <c r="C11" i="42"/>
  <c r="C45" i="25"/>
  <c r="C45" i="21"/>
  <c r="J45" i="21"/>
  <c r="I17" i="21"/>
  <c r="K42" i="21"/>
  <c r="C31" i="42"/>
  <c r="C23" i="22"/>
  <c r="C13" i="22"/>
  <c r="S48" i="40"/>
  <c r="G48" i="26"/>
  <c r="C37" i="25"/>
  <c r="C39" i="25"/>
  <c r="S53" i="40"/>
  <c r="Q47" i="39"/>
  <c r="C14" i="21"/>
  <c r="F17" i="21"/>
  <c r="C6" i="40"/>
  <c r="D4" i="40"/>
  <c r="C32" i="24"/>
  <c r="C6" i="24"/>
  <c r="C7" i="24"/>
  <c r="F41" i="24"/>
  <c r="F42" i="24"/>
  <c r="F43" i="24"/>
  <c r="C37" i="24"/>
  <c r="C30" i="41"/>
  <c r="C5" i="41"/>
  <c r="C6" i="41"/>
  <c r="D31" i="25"/>
  <c r="F40" i="41"/>
  <c r="F41" i="41"/>
  <c r="F42" i="41"/>
  <c r="C35" i="41"/>
  <c r="C30" i="42"/>
  <c r="C5" i="42"/>
  <c r="C6" i="42"/>
  <c r="D31" i="26"/>
  <c r="F40" i="42"/>
  <c r="F41" i="42"/>
  <c r="F42" i="42"/>
  <c r="G16" i="6"/>
  <c r="C8" i="24"/>
  <c r="C9" i="24"/>
  <c r="D42" i="21"/>
  <c r="C37" i="22"/>
  <c r="F41" i="22"/>
  <c r="F42" i="22"/>
  <c r="F43" i="22"/>
  <c r="C32" i="22"/>
  <c r="C6" i="22"/>
  <c r="C7" i="22"/>
  <c r="C34" i="42"/>
  <c r="C35" i="42"/>
  <c r="C33" i="42"/>
  <c r="K14" i="21"/>
  <c r="M17" i="21"/>
  <c r="J14" i="21"/>
  <c r="D41" i="40"/>
  <c r="D42" i="40"/>
  <c r="J31" i="21"/>
  <c r="J32" i="21"/>
  <c r="J37" i="21"/>
  <c r="J39" i="21"/>
  <c r="C10" i="24"/>
  <c r="K31" i="21"/>
  <c r="K47" i="21"/>
  <c r="C7" i="42"/>
  <c r="C8" i="42"/>
  <c r="D49" i="25"/>
  <c r="D32" i="25"/>
  <c r="D37" i="25"/>
  <c r="D39" i="25"/>
  <c r="J31" i="39"/>
  <c r="J31" i="40"/>
  <c r="P31" i="40"/>
  <c r="D49" i="26"/>
  <c r="D32" i="26"/>
  <c r="D37" i="26"/>
  <c r="D39" i="26"/>
  <c r="Q31" i="39"/>
  <c r="C7" i="41"/>
  <c r="C8" i="41"/>
  <c r="C8" i="22"/>
  <c r="C9" i="22"/>
  <c r="D31" i="21"/>
  <c r="C10" i="22"/>
  <c r="D47" i="21"/>
  <c r="C31" i="21"/>
  <c r="C32" i="21"/>
  <c r="C37" i="21"/>
  <c r="C39" i="21"/>
  <c r="Q32" i="39"/>
  <c r="Q37" i="39"/>
  <c r="Q49" i="39"/>
  <c r="J32" i="40"/>
  <c r="J37" i="40"/>
  <c r="J49" i="40"/>
  <c r="P32" i="40"/>
  <c r="P37" i="40"/>
  <c r="P49" i="40"/>
  <c r="D48" i="25"/>
  <c r="F37" i="25"/>
  <c r="D53" i="25"/>
  <c r="D48" i="26"/>
  <c r="F37" i="26"/>
  <c r="D53" i="26"/>
  <c r="D84" i="39"/>
  <c r="K49" i="21"/>
  <c r="K34" i="21"/>
  <c r="K32" i="21"/>
  <c r="D84" i="40"/>
  <c r="J32" i="39"/>
  <c r="J37" i="39"/>
  <c r="J49" i="39"/>
  <c r="D100" i="40"/>
  <c r="D100" i="39"/>
  <c r="D31" i="39"/>
  <c r="D49" i="21"/>
  <c r="D32" i="21"/>
  <c r="D37" i="21"/>
  <c r="D31" i="40"/>
  <c r="D47" i="39"/>
  <c r="D47" i="40"/>
  <c r="K37" i="21"/>
  <c r="K39" i="21"/>
  <c r="F53" i="26"/>
  <c r="J48" i="39"/>
  <c r="L37" i="39"/>
  <c r="J53" i="39"/>
  <c r="N53" i="21"/>
  <c r="K52" i="21"/>
  <c r="K48" i="21"/>
  <c r="M37" i="21"/>
  <c r="N48" i="21"/>
  <c r="K53" i="21"/>
  <c r="M53" i="21"/>
  <c r="P53" i="40"/>
  <c r="P48" i="40"/>
  <c r="R37" i="40"/>
  <c r="Q53" i="39"/>
  <c r="Q48" i="39"/>
  <c r="S37" i="39"/>
  <c r="D85" i="40"/>
  <c r="D87" i="40"/>
  <c r="D102" i="40"/>
  <c r="D85" i="39"/>
  <c r="D102" i="39"/>
  <c r="D87" i="39"/>
  <c r="D39" i="21"/>
  <c r="J48" i="40"/>
  <c r="L37" i="40"/>
  <c r="J53" i="40"/>
  <c r="F53" i="25"/>
  <c r="D32" i="40"/>
  <c r="D37" i="40"/>
  <c r="D49" i="40"/>
  <c r="D52" i="21"/>
  <c r="D51" i="21"/>
  <c r="D48" i="21"/>
  <c r="F37" i="21"/>
  <c r="G53" i="21"/>
  <c r="G48" i="21"/>
  <c r="D53" i="21"/>
  <c r="D34" i="39"/>
  <c r="D49" i="39"/>
  <c r="D32" i="39"/>
  <c r="D37" i="39"/>
  <c r="L53" i="40"/>
  <c r="D90" i="40"/>
  <c r="S53" i="39"/>
  <c r="R53" i="40"/>
  <c r="L53" i="39"/>
  <c r="D90" i="39"/>
  <c r="D105" i="39"/>
  <c r="D104" i="39"/>
  <c r="G106" i="39"/>
  <c r="D106" i="39"/>
  <c r="D101" i="39"/>
  <c r="F90" i="39"/>
  <c r="G101" i="39"/>
  <c r="D106" i="40"/>
  <c r="D105" i="40"/>
  <c r="D104" i="40"/>
  <c r="G106" i="40"/>
  <c r="G101" i="40"/>
  <c r="D101" i="40"/>
  <c r="F90" i="40"/>
  <c r="F53" i="21"/>
  <c r="G53" i="39"/>
  <c r="D48" i="39"/>
  <c r="F37" i="39"/>
  <c r="D52" i="39"/>
  <c r="D51" i="39"/>
  <c r="D53" i="39"/>
  <c r="G48" i="39"/>
  <c r="G53" i="40"/>
  <c r="G48" i="40"/>
  <c r="D52" i="40"/>
  <c r="D51" i="40"/>
  <c r="D53" i="40"/>
  <c r="D48" i="40"/>
  <c r="F37" i="40"/>
  <c r="F106" i="39"/>
  <c r="F53" i="40"/>
  <c r="F106" i="40"/>
  <c r="F53" i="39"/>
</calcChain>
</file>

<file path=xl/comments1.xml><?xml version="1.0" encoding="utf-8"?>
<comments xmlns="http://schemas.openxmlformats.org/spreadsheetml/2006/main">
  <authors>
    <author>Simon Liang</author>
    <author>Jet Propulsion Laboratory</author>
  </authors>
  <commentList>
    <comment ref="B5" authorId="0">
      <text>
        <r>
          <rPr>
            <b/>
            <sz val="8"/>
            <color indexed="81"/>
            <rFont val="Tahoma"/>
            <family val="2"/>
          </rPr>
          <t>Why uplink/downlink are supported? This is TDM in a single carrier, so this is what a physical CH sees as bi-directional traffic being supported. But when specify HW (RF, mod/demod, encode/decode...) specs at each end, what traffic arrives are the ones supported by HW.</t>
        </r>
      </text>
    </comment>
    <comment ref="B6" authorId="1">
      <text>
        <r>
          <rPr>
            <b/>
            <sz val="8"/>
            <color indexed="81"/>
            <rFont val="Tahoma"/>
            <family val="2"/>
          </rPr>
          <t>aggregate efficiency = MAC user rate/CH bit rate</t>
        </r>
      </text>
    </comment>
    <comment ref="B7" authorId="1">
      <text>
        <r>
          <rPr>
            <b/>
            <sz val="8"/>
            <color indexed="81"/>
            <rFont val="Tahoma"/>
            <family val="2"/>
          </rPr>
          <t>Rinfo = Ruser / aggregate efficiency. With OH, this is roughly the layer-2 information rate</t>
        </r>
      </text>
    </comment>
    <comment ref="B8" authorId="1">
      <text>
        <r>
          <rPr>
            <b/>
            <sz val="8"/>
            <color indexed="81"/>
            <rFont val="Tahoma"/>
            <family val="2"/>
          </rPr>
          <t>Tsym = # sub-carriers x (coded bits per sub-carrier) x (code rate) / req CH total bit rate = tot Tsym w OH per sub-carrier</t>
        </r>
      </text>
    </comment>
    <comment ref="B9" authorId="1">
      <text>
        <r>
          <rPr>
            <b/>
            <sz val="8"/>
            <color indexed="81"/>
            <rFont val="Tahoma"/>
            <family val="2"/>
          </rPr>
          <t>BWoccupied = # tot carriers / tot Tsym w OH per subcarrier</t>
        </r>
      </text>
    </comment>
    <comment ref="B10" authorId="1">
      <text>
        <r>
          <rPr>
            <b/>
            <sz val="8"/>
            <color indexed="81"/>
            <rFont val="Tahoma"/>
            <family val="2"/>
          </rPr>
          <t>IRIG-106 Appendix A Table A-2:
*NRZ PCM/FM, premod filter BW=.7R, deltaF=.35R  BWocc=1.16R
*NRZ PCM/FM, no premod filter, deltaF=.25R  BWocc=1.18R
*NRZ PCM/FM, no premod filter, deltaF=.35R  BWocc=1.78R
*NRZ PCM/FM, no premod filter, deltaF=.4R  BWocc=1.93R
*NRZ PCM/FM, premod filter BW=.7R, deltaF=.4R  BWocc=1.57R
*MSK, no filter BWocc=1.18R
*FQOSP-B, FQPSK-JR or SOQPSK-TG  BWocc=.78R
*ARTM CPM    BWocc=.56R
R=coded CH rate = Rinfo / code rate</t>
        </r>
      </text>
    </comment>
    <comment ref="B13" authorId="1">
      <text>
        <r>
          <rPr>
            <b/>
            <sz val="8"/>
            <color indexed="81"/>
            <rFont val="Tahoma"/>
            <family val="2"/>
          </rPr>
          <t>CH info bit rate = usable CH bit rate / [(1-t guard band OH ratio)x(1-link outage ratio)x(1-data granularity OH ratio)x(1-synchronization OH ratio)x(1-link layer control msg OH ratio)x(1-link layer encryption OH ratio)*(1-link layer framing OH ratio)x(1-secure handshake OH ratio)</t>
        </r>
      </text>
    </comment>
    <comment ref="B15" authorId="1">
      <text>
        <r>
          <rPr>
            <b/>
            <sz val="8"/>
            <color indexed="81"/>
            <rFont val="Tahoma"/>
            <family val="2"/>
          </rPr>
          <t>PHY layer availability due to range interference. link outage = 1 - multipath fade availability ratio x interference range availability ratio.
It calculates the link outage since telemetry drops can occur due to multi-path, external interference, blockage, or bad geometries for both SOQPSK-TG and OFDM waveforms. Based on measurements in a past flight experiment, about 3.2k OFDM frames were received over the course of 1331s of flight time. The OFDM frames used for the flight experiment were composed of 898 symbols at a symbol time of 4.57 μs. The OFDM frame had a frame time Tframe = 4 ms. The test range availability was 3.2k x Tframe / 1331s = 97.8%. Although this value should be heavily dependent on the setting, as well as concerns on availability due to other interference, therefore 92% availability is used for the analysis. The multipath fade availability, described in section B.1.3.3, is dependent on antenna size, waveform modulation, HPA power level, and range.</t>
        </r>
      </text>
    </comment>
    <comment ref="B18" authorId="0">
      <text>
        <r>
          <rPr>
            <b/>
            <sz val="8"/>
            <color indexed="81"/>
            <rFont val="Tahoma"/>
            <family val="2"/>
          </rPr>
          <t># of codeblocks n= 1 min, 2, 3,….up to 8 max</t>
        </r>
      </text>
    </comment>
    <comment ref="B19" authorId="1">
      <text>
        <r>
          <rPr>
            <b/>
            <sz val="8"/>
            <color indexed="81"/>
            <rFont val="Tahoma"/>
            <family val="2"/>
          </rPr>
          <t>Td_GS_MAX = 100nm / light speed</t>
        </r>
      </text>
    </comment>
    <comment ref="B20" authorId="1">
      <text>
        <r>
          <rPr>
            <b/>
            <sz val="8"/>
            <color indexed="81"/>
            <rFont val="Tahoma"/>
            <family val="2"/>
          </rPr>
          <t>guard time ratio = (2xTd_GS_MAX + # users per CH x TGMIN) / [(2xTd_GS_MAX+ # users per CH x TGMIN)+Tepoch]. TDMA guard/wait time related to TDMA structure.
Equation is the guard band overhead ratio that calculates the loss of efficiencies as a result of guard time allocated between timeslots for different TAs with respect to the TDMA epoch period. This applies to both SC-SOQPSK and OFDM waveforms. The guard time from GS to TA is td_GS_MAX (see DEFID -5.1-14) while from TA to GS it is tGMIN (see DEFID-5.1-17). For TA to GS, transmission and its associated guard time is TA specific and depends on number of TAs. According to Section 5.1, value for td_GS_MAX is ~617 µs (for 100 nmi) and 7 μs for tGMIN.</t>
        </r>
      </text>
    </comment>
    <comment ref="B23" authorId="1">
      <text>
        <r>
          <rPr>
            <b/>
            <sz val="8"/>
            <color indexed="81"/>
            <rFont val="Tahoma"/>
            <family val="2"/>
          </rPr>
          <t>Data rate granularity OH ratio = (TA #s x D codeblk info) / [(TA #s x D codeblk info) + Ruser rate x Tepoch]. 
Difference between required data rate and the assignable data rate. Timeslot allocation is equivalent to data rate assignment. Small assignable data rate unit allocated to TA is 1 codeblock with x duration. For y epoch, we get timeslot quantization at a step of x / y of an epoch period.
It calculates the loss of efficiency due to the granularity of assignable data rate that is a result of the difference between the required data rate and the assignable data rate for both SOQPSK-TG and OFDM waveforms. For TDMA, time allocation is equivalent to data rate assignment. The smallest assignable data rate unit that can be allocated to a TA is 1 LDPC codeblock size of 4096 information bits. For example, for the SOQPSK-TG waveform in Table A2, the user data rate is 8.8 Mbps, so the LDPC codeblock duration is 4096 bits / 8.8 Mbps = .465 ms. For an epoch period of 100 ms, this corresponds to a time slot quantization of .465 / 100 = .465% of an epoch. As a worse case where one unutilized codeblock occurred for each TA, the data rate granularity efficiency is 1 - .465% x 4 TAs = 98.1%.</t>
        </r>
      </text>
    </comment>
    <comment ref="B24" authorId="1">
      <text>
        <r>
          <rPr>
            <b/>
            <sz val="8"/>
            <color indexed="81"/>
            <rFont val="Tahoma"/>
            <family val="2"/>
          </rPr>
          <t xml:space="preserve">synch OH ratio = (OHpreamble + OH_ASM)/[(OHpreamble+OH_ASM)+Dcodeblk info]. Preamble consists of 128 bits for SOQPSK. Uses ASM marker consisting 64 bits for each group of 1, 2, ….8 codeblocks. Use 1 codeblock as worse case. Each codeblock frame is preceded by a preamble (24 bits for OFDM QPSK &amp; 46 bits for 16-QAM, 128 bits for SOQPSK).
It calculates the loss of efficiency due to burst preamble and frame synchronization overhead required for both SOQPSK-TG and OFDM waveforms. An LDPC code system is adopted where a codeblock frame w min # codeblock of 4096 information bits preceded with a 64 bit Attached Synch Marker (ASM). </t>
        </r>
      </text>
    </comment>
    <comment ref="B26" authorId="1">
      <text>
        <r>
          <rPr>
            <b/>
            <sz val="8"/>
            <color indexed="81"/>
            <rFont val="Tahoma"/>
            <family val="2"/>
          </rPr>
          <t>Mean MAC packet size distribution is ~ 893bytes (7140bits)
PDU = packet data unit. See standard appendix section E.</t>
        </r>
      </text>
    </comment>
    <comment ref="B27" authorId="0">
      <text>
        <r>
          <rPr>
            <b/>
            <sz val="8"/>
            <color indexed="81"/>
            <rFont val="Tahoma"/>
            <family val="2"/>
          </rPr>
          <t>link layer framing OH ratio = OH_data pattern dep / 256 + (OHflag + OHfcs)/[(OHflag + OHfcs) + Dmean PDU length]. It calculates the loss off efficiency due to layer 2 link layer framing overhead for both SOQPSK-TG and OFDM waveforms. A link layer framing protocol is needed for recovering packet from the data stream. An HDLC framing synchronization is utilized with 1 byte flag, 2 bytes frame check sequence (FCS), and data pattern dependent overhead 2/256 of packet size.</t>
        </r>
        <r>
          <rPr>
            <sz val="8"/>
            <color indexed="81"/>
            <rFont val="Tahoma"/>
            <family val="2"/>
          </rPr>
          <t xml:space="preserve">
</t>
        </r>
      </text>
    </comment>
    <comment ref="B28" authorId="0">
      <text>
        <r>
          <rPr>
            <b/>
            <sz val="8"/>
            <color indexed="81"/>
            <rFont val="Tahoma"/>
            <family val="2"/>
          </rPr>
          <t>LL enryption OH ratio = 8 x 52 bytes / (8 x 52 bytes + Dcodeblk info). Each codeblock requires 52 bytes of LL security OH. Note 52 bytes OH header is per the certified 802.11i AES-CCMP structure</t>
        </r>
      </text>
    </comment>
    <comment ref="B29" authorId="0">
      <text>
        <r>
          <rPr>
            <b/>
            <sz val="8"/>
            <color indexed="81"/>
            <rFont val="Tahoma"/>
            <family val="2"/>
          </rPr>
          <t>security handshake OH ratio =TA #s(OH from TA + OH from GS)/[TA#s(OH from TA + OH from GS)+# handshakes x tepoch x user data rate)].
Handshake OH is based on 4-way handshakes one per 864k epochs (24 hr span), for total of 4x8 codeblocks.</t>
        </r>
      </text>
    </comment>
    <comment ref="B30" authorId="1">
      <text>
        <r>
          <rPr>
            <b/>
            <sz val="8"/>
            <color indexed="81"/>
            <rFont val="Tahoma"/>
            <family val="2"/>
          </rPr>
          <t>control msg OH ratio = # TAs x 8 (M from GS + M from TA)/[# TAs x 8 (M from GS + M from TA)+Tepoch x Ruser rate)]
It calculates the loss of efficiency due to layer 2 control link messages for both SOQPSK-TG and OFDM waveforms. It is based on 100 bytes for each direction (uplink from GS and downlink from TA) per epoch.</t>
        </r>
      </text>
    </comment>
    <comment ref="B31" authorId="1">
      <text>
        <r>
          <rPr>
            <b/>
            <sz val="8"/>
            <color indexed="81"/>
            <rFont val="Tahoma"/>
            <family val="2"/>
          </rPr>
          <t>same as required CH user data rate</t>
        </r>
      </text>
    </comment>
    <comment ref="B32" authorId="1">
      <text>
        <r>
          <rPr>
            <b/>
            <sz val="8"/>
            <color indexed="81"/>
            <rFont val="Tahoma"/>
            <family val="2"/>
          </rPr>
          <t xml:space="preserve">aggregate efficiency=MAC user rate/CH req total bit rate. </t>
        </r>
      </text>
    </comment>
    <comment ref="E43" authorId="1">
      <text>
        <r>
          <rPr>
            <b/>
            <sz val="8"/>
            <color indexed="81"/>
            <rFont val="Tahoma"/>
            <family val="2"/>
          </rPr>
          <t>Raised-cosine filter H(f) = 1/2 x (1 - sin[pi x (f/fn - 1)/(2 x alpha)]).
f = BW(actual) = fn x (2 x alpha x inverse sin[1-2 x H(f)] / pi + 1)</t>
        </r>
        <r>
          <rPr>
            <sz val="8"/>
            <color indexed="81"/>
            <rFont val="Tahoma"/>
            <family val="2"/>
          </rPr>
          <t xml:space="preserve">
</t>
        </r>
      </text>
    </comment>
  </commentList>
</comments>
</file>

<file path=xl/comments10.xml><?xml version="1.0" encoding="utf-8"?>
<comments xmlns="http://schemas.openxmlformats.org/spreadsheetml/2006/main">
  <authors>
    <author>Simon Liang</author>
    <author>Jet Propulsion Laboratory</author>
  </authors>
  <commentList>
    <comment ref="B4" authorId="0">
      <text>
        <r>
          <rPr>
            <b/>
            <sz val="8"/>
            <color indexed="81"/>
            <rFont val="Tahoma"/>
            <family val="2"/>
          </rPr>
          <t>Why uplink/downlink are supported? This is TDM in a single carrier, so this is what a physical CH sees as bi-directional traffic being supported. But when specify HW (RF, mod/demod, encode/decode...) specs at each end, what traffic arrives are the ones supported by HW.</t>
        </r>
      </text>
    </comment>
    <comment ref="B5" authorId="1">
      <text>
        <r>
          <rPr>
            <b/>
            <sz val="8"/>
            <color indexed="81"/>
            <rFont val="Tahoma"/>
            <family val="2"/>
          </rPr>
          <t>aggregate efficiency = MAC user rate/CH bit rate</t>
        </r>
      </text>
    </comment>
    <comment ref="B6" authorId="1">
      <text>
        <r>
          <rPr>
            <b/>
            <sz val="8"/>
            <color indexed="81"/>
            <rFont val="Tahoma"/>
            <family val="2"/>
          </rPr>
          <t>With OH, this is roughly the layer-2 information rate</t>
        </r>
      </text>
    </comment>
    <comment ref="B11" authorId="1">
      <text>
        <r>
          <rPr>
            <b/>
            <sz val="8"/>
            <color indexed="81"/>
            <rFont val="Tahoma"/>
            <family val="2"/>
          </rPr>
          <t>CH info bit rate = usable CH bit rate / [(1-t guard band OH ratio)x(1-link outage ratio)x(1-data granularity OH ratio)x(1-synchronization OH ratio)x(1-link layer control msg OH ratio)x(1-link layer encryption OH ratio)*(1-link layer framing OH ratio)x(1-secure handshake OH ratio)</t>
        </r>
      </text>
    </comment>
    <comment ref="B13" authorId="1">
      <text>
        <r>
          <rPr>
            <b/>
            <sz val="8"/>
            <color indexed="81"/>
            <rFont val="Tahoma"/>
            <family val="2"/>
          </rPr>
          <t>PHY layer availability due to range interference. link outage = 1 - multipath fade availability ratio x interference range availability ratio.
It calculates the link outage since telemetry drops can occur due to multi-path, external interference, blockage, or bad geometries for both SOQPSK-TG and OFDM waveforms. Based on measurements in a past flight experiment, about 3.2k OFDM frames were received over the course of 1331s of flight time. The OFDM frames used for the flight experiment were composed of 898 symbols at a symbol time of 4.57 μs. The OFDM frame had a frame time Tframe = 4 ms. The test range availability was 3.2k x Tframe / 1331s = 97.8%. Although this value should be heavily dependent on the setting, as well as concerns on availability due to other interference, therefore 92% availability is used for the analysis. The multipath fade availability, described in section B.1.3.3, is dependent on antenna size, waveform modulation, HPA power level, and range.</t>
        </r>
      </text>
    </comment>
    <comment ref="B16" authorId="0">
      <text>
        <r>
          <rPr>
            <b/>
            <sz val="8"/>
            <color indexed="81"/>
            <rFont val="Tahoma"/>
            <family val="2"/>
          </rPr>
          <t># of codeblocks n= 1 min, 2, 3,….up to 8 max</t>
        </r>
      </text>
    </comment>
    <comment ref="B17" authorId="1">
      <text>
        <r>
          <rPr>
            <b/>
            <sz val="8"/>
            <color indexed="81"/>
            <rFont val="Tahoma"/>
            <family val="2"/>
          </rPr>
          <t>Td_GS_MAX = 100nm / light speed</t>
        </r>
      </text>
    </comment>
    <comment ref="B18" authorId="1">
      <text>
        <r>
          <rPr>
            <b/>
            <sz val="8"/>
            <color indexed="81"/>
            <rFont val="Tahoma"/>
            <family val="2"/>
          </rPr>
          <t>guard time ratio = (2xTd_GS_MAX + # users per CH x TGMIN) / [(2xTd_GS_MAX+ # users per CH x TGMIN)+Tepoch]. TDMA guard/wait time related to TDMA structure.
Equation is the guard band overhead ratio that calculates the loss of efficiencies as a result of guard time allocated between timeslots for different TAs with respect to the TDMA epoch period. This applies to both SC-SOQPSK and OFDM waveforms. The guard time from GS to TA is td_GS_MAX (see DEFID -5.1-14) while from TA to GS it is tGMIN (see DEFID-5.1-17). For TA to GS, transmission and its associated guard time is TA specific and depends on number of TAs. According to Section 5.1, value for td_GS_MAX is ~617 µs (for 100 nmi) and 7 μs for tGMIN.</t>
        </r>
      </text>
    </comment>
    <comment ref="B21" authorId="1">
      <text>
        <r>
          <rPr>
            <b/>
            <sz val="8"/>
            <color indexed="81"/>
            <rFont val="Tahoma"/>
            <family val="2"/>
          </rPr>
          <t>Data rate granularity OH ratio = (TA #s x D codeblk info) / [(TA #s x D codeblk info) + Ruser rate x Tepoch]. 
Difference between required data rate and the assignable data rate. Timeslot allocation is equivalent to data rate assignment. Small assignable data rate unit allocated to TA is 1 codeblock with x duration. For y epoch, we get timeslot quantization at a step of x / y of an epoch period.
It calculates the loss of efficiency due to the granularity of assignable data rate that is a result of the difference between the required data rate and the assignable data rate for both SOQPSK-TG and OFDM waveforms. For TDMA, time allocation is equivalent to data rate assignment. The smallest assignable data rate unit that can be allocated to a TA is 1 LDPC codeblock size of 4096 information bits. For example, for the SOQPSK-TG waveform in Table A2, the user data rate is 8.8 Mbps, so the LDPC codeblock duration is 4096 bits / 8.8 Mbps = .465 ms. For an epoch period of 100 ms, this corresponds to a time slot quantization of .465 / 100 = .465% of an epoch. As a worse case where one unutilized codeblock occurred for each TA, the data rate granularity efficiency is 1 - .465% x 4 TAs = 98.1%.</t>
        </r>
      </text>
    </comment>
    <comment ref="B22" authorId="1">
      <text>
        <r>
          <rPr>
            <b/>
            <sz val="8"/>
            <color indexed="81"/>
            <rFont val="Tahoma"/>
            <family val="2"/>
          </rPr>
          <t xml:space="preserve">synch OH ratio = (OHpreamble + OH_ASM)/[(OHpreamble+OH_ASM)+Dcodeblk info]. Preamble consists of 128 bits for SOQPSK. Uses ASM marker consisting 64 bits for each group of 1, 2, ….8 codeblocks. Use 1 codeblock as worse case. Each codeblock frame is preceded by a preamble (24 bits for OFDM QPSK &amp; 46 bits for 16-QAM, 128 bits for SOQPSK).
It calculates the loss of efficiency due to burst preamble and frame synchronization overhead required for both SOQPSK-TG and OFDM waveforms. An LDPC code system is adopted where a codeblock frame w min # codeblock of 4096 information bits preceded with a 64 bit Attached Synch Marker (ASM). </t>
        </r>
      </text>
    </comment>
    <comment ref="B24" authorId="1">
      <text>
        <r>
          <rPr>
            <b/>
            <sz val="8"/>
            <color indexed="81"/>
            <rFont val="Tahoma"/>
            <family val="2"/>
          </rPr>
          <t>Mean MAC packet size distribution is ~ 893bytes (7140bits)
PDU = packet data unit. See standard appendix section E.</t>
        </r>
      </text>
    </comment>
    <comment ref="B25" authorId="0">
      <text>
        <r>
          <rPr>
            <b/>
            <sz val="8"/>
            <color indexed="81"/>
            <rFont val="Tahoma"/>
            <family val="2"/>
          </rPr>
          <t>link layer framing OH ratio = OH_data pattern dep / 256 + (OHflag + OHfcs)/[(OHflag + OHfcs) + Dmean PDU length]. It calculates the loss off efficiency due to layer 2 link layer framing overhead for both SOQPSK-TG and OFDM waveforms. A link layer framing protocol is needed for recovering packet from the data stream. An HDLC framing synchronization is utilized with 1 byte flag, 2 bytes frame check sequence (FCS), and data pattern dependent overhead 2/256 of packet size.</t>
        </r>
        <r>
          <rPr>
            <sz val="8"/>
            <color indexed="81"/>
            <rFont val="Tahoma"/>
            <family val="2"/>
          </rPr>
          <t xml:space="preserve">
</t>
        </r>
      </text>
    </comment>
    <comment ref="B26" authorId="0">
      <text>
        <r>
          <rPr>
            <b/>
            <sz val="8"/>
            <color indexed="81"/>
            <rFont val="Tahoma"/>
            <family val="2"/>
          </rPr>
          <t>LL enryption OH ratio = 8 x 52 bytes / (8 x 52 bytes + Dcodeblk info). Each codeblock requires 52 bytes of LL security OH. Note 52 bytes OH header is per the certified 802.11i AES-CCMP structure</t>
        </r>
      </text>
    </comment>
    <comment ref="B27" authorId="0">
      <text>
        <r>
          <rPr>
            <b/>
            <sz val="8"/>
            <color indexed="81"/>
            <rFont val="Tahoma"/>
            <family val="2"/>
          </rPr>
          <t>security handshake OH ratio =TA #s(OH from TA + OH from GS)/[TA#s(OH from TA + OH from GS)+# handshakes x tepoch x user data rate)].
Handshake OH is based on 4-way handshakes one per 864k epochs (24 hr span), for total of 4x8 codeblocks.</t>
        </r>
      </text>
    </comment>
    <comment ref="B28" authorId="1">
      <text>
        <r>
          <rPr>
            <b/>
            <sz val="8"/>
            <color indexed="81"/>
            <rFont val="Tahoma"/>
            <family val="2"/>
          </rPr>
          <t>control msg OH ratio = # TAs x 8 (M from GS + M from TA)/[# TAs x 8 (M from GS + M from TA)+Tepoch x Ruser rate)]
It calculates the loss of efficiency due to layer 2 control link messages for both SOQPSK-TG and OFDM waveforms. It is based on 100 bytes for each direction (uplink from GS and downlink from TA) per epoch.</t>
        </r>
      </text>
    </comment>
    <comment ref="B29" authorId="1">
      <text>
        <r>
          <rPr>
            <b/>
            <sz val="8"/>
            <color indexed="81"/>
            <rFont val="Tahoma"/>
            <family val="2"/>
          </rPr>
          <t>same as required CH user data rate</t>
        </r>
      </text>
    </comment>
    <comment ref="B30" authorId="1">
      <text>
        <r>
          <rPr>
            <b/>
            <sz val="8"/>
            <color indexed="81"/>
            <rFont val="Tahoma"/>
            <family val="2"/>
          </rPr>
          <t>aggregate efficiency=MAC user rate/CH req total bit rate. Should be close to puncture rate 2/3 = 66.7%</t>
        </r>
      </text>
    </comment>
    <comment ref="E42" authorId="1">
      <text>
        <r>
          <rPr>
            <b/>
            <sz val="8"/>
            <color indexed="81"/>
            <rFont val="Tahoma"/>
            <family val="2"/>
          </rPr>
          <t>Raised-cosine filter H(f) = 1/2 x (1 - sin[pi x (f/fn - 1)/(2 x alpha)]).
f = BW(actual) = fn x (2 x alpha x inverse sin[1-2 x H(f)] / pi + 1)</t>
        </r>
        <r>
          <rPr>
            <sz val="8"/>
            <color indexed="81"/>
            <rFont val="Tahoma"/>
            <family val="2"/>
          </rPr>
          <t xml:space="preserve">
</t>
        </r>
      </text>
    </comment>
  </commentList>
</comments>
</file>

<file path=xl/comments2.xml><?xml version="1.0" encoding="utf-8"?>
<comments xmlns="http://schemas.openxmlformats.org/spreadsheetml/2006/main">
  <authors>
    <author>Simon Liang</author>
    <author>Jet Propulsion Laboratory</author>
  </authors>
  <commentList>
    <comment ref="A14" authorId="0">
      <text>
        <r>
          <rPr>
            <b/>
            <sz val="8"/>
            <color indexed="81"/>
            <rFont val="Tahoma"/>
            <family val="2"/>
          </rPr>
          <t>The G/T is calcuated at LNA input: Grx_ant - 10*log(Tsyst) - Ldish/wg - Lduplex/cable</t>
        </r>
      </text>
    </comment>
    <comment ref="H14" authorId="0">
      <text>
        <r>
          <rPr>
            <b/>
            <sz val="8"/>
            <color indexed="81"/>
            <rFont val="Tahoma"/>
            <family val="2"/>
          </rPr>
          <t>The G/T is calcuated at LNA input: Grx_ant - 10*log(Tsyst) - Ldish/wg - Lduplex/cable</t>
        </r>
      </text>
    </comment>
    <comment ref="A23" authorId="0">
      <text>
        <r>
          <rPr>
            <b/>
            <sz val="8"/>
            <color indexed="81"/>
            <rFont val="Tahoma"/>
            <family val="2"/>
          </rPr>
          <t>Converting GS ant dish temp of 150C to F, then to K: (150-32)*5/9 + 273</t>
        </r>
      </text>
    </comment>
    <comment ref="H23" authorId="0">
      <text>
        <r>
          <rPr>
            <b/>
            <sz val="8"/>
            <color indexed="81"/>
            <rFont val="Tahoma"/>
            <family val="2"/>
          </rPr>
          <t>Converting GS ant dish temp of 150C to F, then to K: (150-32)*5/9 + 273</t>
        </r>
      </text>
    </comment>
    <comment ref="A25" authorId="0">
      <text>
        <r>
          <rPr>
            <b/>
            <sz val="8"/>
            <color indexed="81"/>
            <rFont val="Tahoma"/>
            <family val="2"/>
          </rPr>
          <t xml:space="preserve">Tsyst =Tdish x (Gdish/wg -1) x (Ldish/wg x Lduplexer/cable) + (Tsky/2 +Tgnd/2) x (Ldish/wg x Lduplexer/cable) + Tgnd x (Gduplexer/cable – 1) x
 Lduplexer/cable + Tgnd x (10^(NFlna/10) –1) + Tgnd x (Gcable - 1) / (Glna) + Tgnd x (10^(NFreceiver/10) – 1) / (Glna x lcable)     
where Tsyst reference point at LNA input and first three terms are Tant elements. Passive component G is linear gain derived from positive dB number and L  is linear loss derived from negative dB number
</t>
        </r>
      </text>
    </comment>
    <comment ref="H25" authorId="0">
      <text>
        <r>
          <rPr>
            <b/>
            <sz val="8"/>
            <color indexed="81"/>
            <rFont val="Tahoma"/>
            <family val="2"/>
          </rPr>
          <t xml:space="preserve">Tsyst =Tdish x (Gdish/wg -1) x (Ldish/wg x Lduplexer/cable) + (Tsky/2 +Tgnd/2) x (Ldish/wg x Lduplexer/cable) + Tgnd x (Gduplexer/cable – 1) x
 Lduplexer/cable + Tgnd x (10^(NFlna/10) –1) + Tgnd x (Gcable - 1) / (Glna) + Tgnd x (10^(NFreceiver/10) – 1) / (Glna x lcable)     
where Tsyst reference point at LNA input and first three terms are Tant elements. Passive component G is linear gain derived from positive dB number and L  is linear loss derived from negative dB number
</t>
        </r>
      </text>
    </comment>
    <comment ref="A34" authorId="0">
      <text>
        <r>
          <rPr>
            <b/>
            <sz val="8"/>
            <color indexed="81"/>
            <rFont val="Tahoma"/>
            <family val="2"/>
          </rPr>
          <t>Coded Eb/No = Uncoded Eb/No - 10*log(fb_coded / fb_uncoded)</t>
        </r>
      </text>
    </comment>
    <comment ref="H34" authorId="0">
      <text>
        <r>
          <rPr>
            <b/>
            <sz val="8"/>
            <color indexed="81"/>
            <rFont val="Tahoma"/>
            <family val="2"/>
          </rPr>
          <t>Coded Eb/No = Uncoded Eb/No - 10*log(fb_coded / fb_uncoded)</t>
        </r>
      </text>
    </comment>
    <comment ref="A36" authorId="0">
      <text>
        <r>
          <rPr>
            <b/>
            <sz val="8"/>
            <color indexed="81"/>
            <rFont val="Tahoma"/>
            <family val="2"/>
          </rPr>
          <t>This is ACI generated by noise floor augumented by same signals from each side of the adjacent CH. See ACI spreadsheet for ACI budget.</t>
        </r>
      </text>
    </comment>
    <comment ref="H36" authorId="0">
      <text>
        <r>
          <rPr>
            <b/>
            <sz val="8"/>
            <color indexed="81"/>
            <rFont val="Tahoma"/>
            <family val="2"/>
          </rPr>
          <t>This is ACI generated by noise floor augumented by same signals from each side of the adjacent CH. See ACI spreadsheet for ACI budget.</t>
        </r>
      </text>
    </comment>
    <comment ref="A37" authorId="0">
      <text>
        <r>
          <rPr>
            <b/>
            <sz val="8"/>
            <color indexed="81"/>
            <rFont val="Tahoma"/>
            <family val="2"/>
          </rPr>
          <t>EIRP (in dBW) - Lant_margin - Lspace -10*log(k) - Latmosphere + Ggs_ant - 10*log(Tsyst) - Lrx_duplexer - Ldish/wg - Lpointing - Lpolarization - 10*log(fb) - Ldata_margin - Eb/No - Levm_rcvr_impl - Lsyst_interfere</t>
        </r>
      </text>
    </comment>
    <comment ref="H37" authorId="0">
      <text>
        <r>
          <rPr>
            <b/>
            <sz val="8"/>
            <color indexed="81"/>
            <rFont val="Tahoma"/>
            <family val="2"/>
          </rPr>
          <t>EIRP (in dBW) - Lant_margin - Lspace -10*log(k) - Latmosphere + Ggs_ant - 10*log(Tsyst) - Lrx_duplexer - Ldish/wg - Lpointing - Lpolarization - 10*log(fb) - Ldata_margin - Eb/No - Levm_rcvr_impl - Lsyst_interfere</t>
        </r>
      </text>
    </comment>
    <comment ref="A41" authorId="0">
      <text>
        <r>
          <rPr>
            <b/>
            <sz val="8"/>
            <color indexed="81"/>
            <rFont val="Tahoma"/>
            <family val="2"/>
          </rPr>
          <t>EIRP (in dBm) - Lant_margin - Lspace - Latmosphere</t>
        </r>
      </text>
    </comment>
    <comment ref="H41" authorId="0">
      <text>
        <r>
          <rPr>
            <b/>
            <sz val="8"/>
            <color indexed="81"/>
            <rFont val="Tahoma"/>
            <family val="2"/>
          </rPr>
          <t>EIRP (in dBm) - Lant_margin - Lspace - Latmosphere</t>
        </r>
      </text>
    </comment>
    <comment ref="A42" authorId="0">
      <text>
        <r>
          <rPr>
            <b/>
            <sz val="8"/>
            <color indexed="81"/>
            <rFont val="Tahoma"/>
            <family val="2"/>
          </rPr>
          <t>Input arriving gs_ant + Ggs_ant - Lgs_point - Lgs_polarization - Lduplexer - Ldish/wg</t>
        </r>
      </text>
    </comment>
    <comment ref="H42" authorId="0">
      <text>
        <r>
          <rPr>
            <b/>
            <sz val="8"/>
            <color indexed="81"/>
            <rFont val="Tahoma"/>
            <family val="2"/>
          </rPr>
          <t>Input arriving gs_ant + Ggs_ant - Lgs_point - Lgs_polarization - Lduplexer - Ldish/wg</t>
        </r>
      </text>
    </comment>
    <comment ref="A43"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H43"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A44" authorId="0">
      <text>
        <r>
          <rPr>
            <b/>
            <sz val="8"/>
            <color indexed="81"/>
            <rFont val="Tahoma"/>
            <family val="2"/>
          </rPr>
          <t>From uncoded Eb/No vs BER plot</t>
        </r>
      </text>
    </comment>
    <comment ref="H44" authorId="0">
      <text>
        <r>
          <rPr>
            <b/>
            <sz val="8"/>
            <color indexed="81"/>
            <rFont val="Tahoma"/>
            <family val="2"/>
          </rPr>
          <t>From uncoded Eb/No vs BER plot</t>
        </r>
      </text>
    </comment>
    <comment ref="A45"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H45"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A48" authorId="0">
      <text>
        <r>
          <rPr>
            <b/>
            <sz val="8"/>
            <color indexed="81"/>
            <rFont val="Tahoma"/>
            <family val="2"/>
          </rPr>
          <t>Receiver sensitivity =Coded Eb/No(dB/bit) +No(syst_thermal noise in dBm/Hz) +10*log(fb_coded) + Lsyst_interference + Lrcvr_implement + Ldata_rate_margin</t>
        </r>
      </text>
    </comment>
    <comment ref="H48" authorId="0">
      <text>
        <r>
          <rPr>
            <b/>
            <sz val="8"/>
            <color indexed="81"/>
            <rFont val="Tahoma"/>
            <family val="2"/>
          </rPr>
          <t>Receiver sensitivity =Coded Eb/No(dB/bit) +No(syst_thermal noise in dBm/Hz) +10*log(fb_coded) + Lsyst_interference + Lrcvr_implement + Ldata_rate_margin</t>
        </r>
      </text>
    </comment>
    <comment ref="A51" authorId="0">
      <text>
        <r>
          <rPr>
            <b/>
            <sz val="8"/>
            <color indexed="81"/>
            <rFont val="Tahoma"/>
            <family val="2"/>
          </rPr>
          <t>Es/No = Coded Eb/No + 10*log(k) where k = code rate x log2 (# of states)</t>
        </r>
        <r>
          <rPr>
            <sz val="8"/>
            <color indexed="81"/>
            <rFont val="Tahoma"/>
            <family val="2"/>
          </rPr>
          <t xml:space="preserve">
</t>
        </r>
      </text>
    </comment>
    <comment ref="H51" authorId="0">
      <text>
        <r>
          <rPr>
            <b/>
            <sz val="8"/>
            <color indexed="81"/>
            <rFont val="Tahoma"/>
            <family val="2"/>
          </rPr>
          <t>Es/No = Eb/No + 10*log(k) where k = code rate x log2 (# of states)</t>
        </r>
        <r>
          <rPr>
            <sz val="8"/>
            <color indexed="81"/>
            <rFont val="Tahoma"/>
            <family val="2"/>
          </rPr>
          <t xml:space="preserve">
</t>
        </r>
      </text>
    </comment>
    <comment ref="A53" authorId="0">
      <text>
        <r>
          <rPr>
            <b/>
            <sz val="8"/>
            <color indexed="81"/>
            <rFont val="Tahoma"/>
            <family val="2"/>
          </rPr>
          <t>Sensitivity rcvr_box = NFrcvr_box + (-174) + Coded Eb/No + 10*log(fb_coded) + Lsyst_interference + Lrcvr_implement + Ldata_rate_margin</t>
        </r>
      </text>
    </comment>
    <comment ref="F53" authorId="0">
      <text>
        <r>
          <rPr>
            <b/>
            <sz val="8"/>
            <color indexed="81"/>
            <rFont val="Tahoma"/>
            <family val="2"/>
          </rPr>
          <t>Difference between sensitivity at receiver system and receiver box is: NFrcvr - 10*log(Tsyst/290)</t>
        </r>
      </text>
    </comment>
    <comment ref="H53" authorId="0">
      <text>
        <r>
          <rPr>
            <b/>
            <sz val="8"/>
            <color indexed="81"/>
            <rFont val="Tahoma"/>
            <family val="2"/>
          </rPr>
          <t>Sensitivity rcvr_box = NFrcvr_box + (-174) + Coded Eb/No + 10*log(fb_coded) + Lsyst_interference + Lrcvr_implement + Ldata_rate_margin</t>
        </r>
      </text>
    </comment>
    <comment ref="M53" authorId="0">
      <text>
        <r>
          <rPr>
            <b/>
            <sz val="8"/>
            <color indexed="81"/>
            <rFont val="Tahoma"/>
            <family val="2"/>
          </rPr>
          <t>Difference between sensitivity at receiver system and receiver box is: NFrcvr - 10*log(Tsyst/290)</t>
        </r>
      </text>
    </comment>
  </commentList>
</comments>
</file>

<file path=xl/comments3.xml><?xml version="1.0" encoding="utf-8"?>
<comments xmlns="http://schemas.openxmlformats.org/spreadsheetml/2006/main">
  <authors>
    <author>Simon Liang</author>
    <author>Jet Propulsion Laboratory</author>
  </authors>
  <commentList>
    <comment ref="B14" authorId="0">
      <text>
        <r>
          <rPr>
            <b/>
            <sz val="8"/>
            <color indexed="81"/>
            <rFont val="Tahoma"/>
            <family val="2"/>
          </rPr>
          <t>The G/T is calcuated at LNA input: Grx_ant - 10*log(Tsyst) - Lta cable - Lduplex/cable</t>
        </r>
      </text>
    </comment>
    <comment ref="H14" authorId="0">
      <text>
        <r>
          <rPr>
            <b/>
            <sz val="8"/>
            <color indexed="81"/>
            <rFont val="Tahoma"/>
            <family val="2"/>
          </rPr>
          <t>The G/T is calcuated at LNA input: Grx_ant - 10*log(Tsyst) - Lta cable - Lduplex/cable</t>
        </r>
      </text>
    </comment>
    <comment ref="N14" authorId="0">
      <text>
        <r>
          <rPr>
            <b/>
            <sz val="8"/>
            <color indexed="81"/>
            <rFont val="Tahoma"/>
            <family val="2"/>
          </rPr>
          <t>The G/T is calcuated at LNA input: Grx_ant - 10*log(Tsyst) - Lta cable - Lduplex/cable</t>
        </r>
      </text>
    </comment>
    <comment ref="B25" authorId="0">
      <text>
        <r>
          <rPr>
            <b/>
            <sz val="8"/>
            <color indexed="81"/>
            <rFont val="Tahoma"/>
            <family val="2"/>
          </rPr>
          <t xml:space="preserve">Tsyst =Tant fin x (Gta cable -1) x (Lta cable x Lduplexer/cable) + (Tsky/2 + Tta/2) x (Lta cable x Lduplexer/cable) + Tta x (Gduplexer/cable – 1) x
 Lduplexer/cable + Tta x (10^(NFlna/10) –1) + Tta x (Gcable - 1) / (Glna) + Tta x (10^(NFreceiver/10) – 1) / (Glna x lcable)     
where Tsyst reference point at LNA input and first three terms are Tant elements. Passive component G is linear gain derived from positive dB number and L  is linear loss derived from negative dB number
</t>
        </r>
      </text>
    </comment>
    <comment ref="H25" authorId="0">
      <text>
        <r>
          <rPr>
            <b/>
            <sz val="8"/>
            <color indexed="81"/>
            <rFont val="Tahoma"/>
            <family val="2"/>
          </rPr>
          <t xml:space="preserve">Tsyst =Tant fin x (Gta cable -1) x (Lta cable x Lduplexer/cable) + (Tsky/2 + Tta/2) x (Lta cable x Lduplexer/cable) + Tta x (Gduplexer/cable – 1) x
 Lduplexer/cable + Tta x (10^(NFlna/10) –1) + Tta x (Gcable - 1) / (Glna) + Tta x (10^(NFreceiver/10) – 1) / (Glna x lcable)     
where Tsyst reference point at LNA input and first three terms are Tant elements. Passive component G is linear gain derived from positive dB number and L  is linear loss derived from negative dB number
</t>
        </r>
      </text>
    </comment>
    <comment ref="N25" authorId="0">
      <text>
        <r>
          <rPr>
            <b/>
            <sz val="8"/>
            <color indexed="81"/>
            <rFont val="Tahoma"/>
            <family val="2"/>
          </rPr>
          <t xml:space="preserve">Tsyst =Tant fin x (Gta cable -1) x (Lta cable x Lduplexer/cable) + (Tsky/2 + Tta/2) x (Lta cable x Lduplexer/cable) + Tta x (Gduplexer/cable – 1) x
 Lduplexer/cable + Tta x (10^(NFlna/10) –1) + Tta x (Gcable - 1) / (Glna) + Tta x (10^(NFreceiver/10) – 1) / (Glna x lcable)     
where Tsyst reference point at LNA input and first three terms are Tant elements. Passive component G is linear gain derived from positive dB number and L  is linear loss derived from negative dB number
</t>
        </r>
      </text>
    </comment>
    <comment ref="B34" authorId="0">
      <text>
        <r>
          <rPr>
            <b/>
            <sz val="8"/>
            <color indexed="81"/>
            <rFont val="Tahoma"/>
            <family val="2"/>
          </rPr>
          <t>Coded Eb/No = Uncoded Eb/No - 10*log(fb_coded / fb_uncoded)</t>
        </r>
      </text>
    </comment>
    <comment ref="H34" authorId="0">
      <text>
        <r>
          <rPr>
            <b/>
            <sz val="8"/>
            <color indexed="81"/>
            <rFont val="Tahoma"/>
            <family val="2"/>
          </rPr>
          <t>Per the F2F agreement</t>
        </r>
      </text>
    </comment>
    <comment ref="N34" authorId="0">
      <text>
        <r>
          <rPr>
            <b/>
            <sz val="8"/>
            <color indexed="81"/>
            <rFont val="Tahoma"/>
            <family val="2"/>
          </rPr>
          <t>Per the F2F agreement</t>
        </r>
      </text>
    </comment>
    <comment ref="B36" authorId="0">
      <text>
        <r>
          <rPr>
            <b/>
            <sz val="8"/>
            <color indexed="81"/>
            <rFont val="Tahoma"/>
            <family val="2"/>
          </rPr>
          <t>This is ACI generated by noise floor augumented by same signals from each side of the adjacent CH. See ACI spreadsheet for ACI budget.</t>
        </r>
      </text>
    </comment>
    <comment ref="H36" authorId="0">
      <text>
        <r>
          <rPr>
            <b/>
            <sz val="8"/>
            <color indexed="81"/>
            <rFont val="Tahoma"/>
            <family val="2"/>
          </rPr>
          <t>This is ACI generated by noise floor augumented by same signals from each side of the adjacent CH. See ACI spreadsheet for ACI budget.</t>
        </r>
      </text>
    </comment>
    <comment ref="N36" authorId="0">
      <text>
        <r>
          <rPr>
            <b/>
            <sz val="8"/>
            <color indexed="81"/>
            <rFont val="Tahoma"/>
            <family val="2"/>
          </rPr>
          <t>This is ACI generated by noise floor augumented by same signals from each side of the adjacent CH. See ACI spreadsheet for ACI budget.</t>
        </r>
      </text>
    </comment>
    <comment ref="B37" authorId="0">
      <text>
        <r>
          <rPr>
            <b/>
            <sz val="8"/>
            <color indexed="81"/>
            <rFont val="Tahoma"/>
            <family val="2"/>
          </rPr>
          <t>EIRP (in dBW) - Lant_margin - Lspace -10*log(k) - Latmosphere + Gta_ant - 10*log(Tsyst) - Lrx_duplexer - Lta_cable -  Lpointing - Lpolarization - 10*log(fb) - Ldata_margin - Eb/No - Levm_rcvr_impl - Lsyst_interfere.
For symmetrical HPA and range between uplink and downlink, the higher uplink excess margin than downlink is contributed by uplink and downlink differences on: 10*log(Tsys), Lta_cable, 10*log(fb)</t>
        </r>
      </text>
    </comment>
    <comment ref="H37" authorId="0">
      <text>
        <r>
          <rPr>
            <b/>
            <sz val="8"/>
            <color indexed="81"/>
            <rFont val="Tahoma"/>
            <family val="2"/>
          </rPr>
          <t>EIRP (in dBW) - Lant_margin - Lspace -10*log(k) - Latmosphere + Gta_ant - 10*log(Tsyst) - Lrx_duplexer - Lta_cable -  Lpointing - Lpolarization - 10*log(fb) - Ldata_margin - Eb/No - Levm_rcvr_impl - Lsyst_interfere.
For symmetrical HPA and range between uplink and downlink, the higher uplink excess margin than downlink is contributed by uplink and downlink differences on: 10*log(Tsys), Lta_cable, 10*log(fb)</t>
        </r>
      </text>
    </comment>
    <comment ref="N37" authorId="0">
      <text>
        <r>
          <rPr>
            <b/>
            <sz val="8"/>
            <color indexed="81"/>
            <rFont val="Tahoma"/>
            <family val="2"/>
          </rPr>
          <t>EIRP (in dBW) - Lant_margin - Lspace -10*log(k) - Latmosphere + Gta_ant - 10*log(Tsyst) - Lrx_duplexer - Lta_cable -  Lpointing - Lpolarization - 10*log(fb) - Ldata_margin - Eb/No - Levm_rcvr_impl - Lsyst_interfere.
For symmetrical HPA and range between uplink and downlink, the higher uplink excess margin than downlink is contributed by uplink and downlink differences on: 10*log(Tsys), Lta_cable, 10*log(fb)</t>
        </r>
      </text>
    </comment>
    <comment ref="B41" authorId="0">
      <text>
        <r>
          <rPr>
            <b/>
            <sz val="8"/>
            <color indexed="81"/>
            <rFont val="Tahoma"/>
            <family val="2"/>
          </rPr>
          <t>EIRP (in dBm) - Lant_margin - Lspace - Latmosphere</t>
        </r>
      </text>
    </comment>
    <comment ref="H41" authorId="0">
      <text>
        <r>
          <rPr>
            <b/>
            <sz val="8"/>
            <color indexed="81"/>
            <rFont val="Tahoma"/>
            <family val="2"/>
          </rPr>
          <t>EIRP (in dBm) - Lant_margin - Lspace - Latmosphere</t>
        </r>
      </text>
    </comment>
    <comment ref="N41" authorId="0">
      <text>
        <r>
          <rPr>
            <b/>
            <sz val="8"/>
            <color indexed="81"/>
            <rFont val="Tahoma"/>
            <family val="2"/>
          </rPr>
          <t>EIRP (in dBm) - Lant_margin - Lspace - Latmosphere</t>
        </r>
      </text>
    </comment>
    <comment ref="B42" authorId="0">
      <text>
        <r>
          <rPr>
            <b/>
            <sz val="8"/>
            <color indexed="81"/>
            <rFont val="Tahoma"/>
            <family val="2"/>
          </rPr>
          <t>Input arriving ta_ant + Gta_ant - Lta_point - Lta_polarization - Lta_cable - Lduplexer/cable</t>
        </r>
      </text>
    </comment>
    <comment ref="H42" authorId="0">
      <text>
        <r>
          <rPr>
            <b/>
            <sz val="8"/>
            <color indexed="81"/>
            <rFont val="Tahoma"/>
            <family val="2"/>
          </rPr>
          <t>Input arriving ta_ant + Gta_ant - Lta_point - Lta_polarization - Lta_cable - Lduplexer/cable</t>
        </r>
      </text>
    </comment>
    <comment ref="N42" authorId="0">
      <text>
        <r>
          <rPr>
            <b/>
            <sz val="8"/>
            <color indexed="81"/>
            <rFont val="Tahoma"/>
            <family val="2"/>
          </rPr>
          <t>Input arriving ta_ant + Gta_ant - Lta_point - Lta_polarization - Lta_cable - Lduplexer/cable</t>
        </r>
      </text>
    </comment>
    <comment ref="B43"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H43"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N43"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B44" authorId="0">
      <text>
        <r>
          <rPr>
            <b/>
            <sz val="8"/>
            <color indexed="81"/>
            <rFont val="Tahoma"/>
            <family val="2"/>
          </rPr>
          <t>From uncoded Eb/No vs BER plot</t>
        </r>
      </text>
    </comment>
    <comment ref="H44" authorId="0">
      <text>
        <r>
          <rPr>
            <b/>
            <sz val="8"/>
            <color indexed="81"/>
            <rFont val="Tahoma"/>
            <family val="2"/>
          </rPr>
          <t>From uncoded Eb/No vs BER plot</t>
        </r>
      </text>
    </comment>
    <comment ref="N44" authorId="0">
      <text>
        <r>
          <rPr>
            <b/>
            <sz val="8"/>
            <color indexed="81"/>
            <rFont val="Tahoma"/>
            <family val="2"/>
          </rPr>
          <t>From uncoded Eb/No vs BER plot</t>
        </r>
      </text>
    </comment>
    <comment ref="B45"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H45"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N45"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B48" authorId="0">
      <text>
        <r>
          <rPr>
            <b/>
            <sz val="8"/>
            <color indexed="81"/>
            <rFont val="Tahoma"/>
            <family val="2"/>
          </rPr>
          <t>Receiver sensitivity =Coded Eb/No(dB/bit) +No(syst_thermal noise in dBm/Hz) +10*log(fb_coded) + Lsyst_interference + Lrcvr_implement + Ldata_rate_margin</t>
        </r>
      </text>
    </comment>
    <comment ref="H48" authorId="0">
      <text>
        <r>
          <rPr>
            <b/>
            <sz val="8"/>
            <color indexed="81"/>
            <rFont val="Tahoma"/>
            <family val="2"/>
          </rPr>
          <t>Receiver sensitivity =Coded Eb/No(dB/bit) +No(syst_thermal noise in dBm/Hz) +10*log(fb_coded) + Lsyst_interference + Lrcvr_implement + Ldata_rate_margin</t>
        </r>
      </text>
    </comment>
    <comment ref="N48" authorId="0">
      <text>
        <r>
          <rPr>
            <b/>
            <sz val="8"/>
            <color indexed="81"/>
            <rFont val="Tahoma"/>
            <family val="2"/>
          </rPr>
          <t>Receiver sensitivity =Coded Eb/No(dB/bit) +No(syst_thermal noise in dBm/Hz) +10*log(fb_coded) + Lsyst_interference + Lrcvr_implement + Ldata_rate_margin</t>
        </r>
      </text>
    </comment>
    <comment ref="B51" authorId="0">
      <text>
        <r>
          <rPr>
            <b/>
            <sz val="8"/>
            <color indexed="81"/>
            <rFont val="Tahoma"/>
            <family val="2"/>
          </rPr>
          <t>Es/No = Coded Eb/No + 10*log(k) where k = code rate x log2 (# of states)</t>
        </r>
        <r>
          <rPr>
            <sz val="8"/>
            <color indexed="81"/>
            <rFont val="Tahoma"/>
            <family val="2"/>
          </rPr>
          <t xml:space="preserve">
</t>
        </r>
      </text>
    </comment>
    <comment ref="H51" authorId="0">
      <text>
        <r>
          <rPr>
            <b/>
            <sz val="8"/>
            <color indexed="81"/>
            <rFont val="Tahoma"/>
            <family val="2"/>
          </rPr>
          <t>Es/No = Coded Eb/No + 10*log(k) where k = code rate x log2 (# of states)</t>
        </r>
        <r>
          <rPr>
            <sz val="8"/>
            <color indexed="81"/>
            <rFont val="Tahoma"/>
            <family val="2"/>
          </rPr>
          <t xml:space="preserve">
</t>
        </r>
      </text>
    </comment>
    <comment ref="N51" authorId="0">
      <text>
        <r>
          <rPr>
            <b/>
            <sz val="8"/>
            <color indexed="81"/>
            <rFont val="Tahoma"/>
            <family val="2"/>
          </rPr>
          <t>Es/No = Coded Eb/No + 10*log(k) where k = code rate x log2 (# of states)</t>
        </r>
        <r>
          <rPr>
            <sz val="8"/>
            <color indexed="81"/>
            <rFont val="Tahoma"/>
            <family val="2"/>
          </rPr>
          <t xml:space="preserve">
</t>
        </r>
      </text>
    </comment>
    <comment ref="B53" authorId="0">
      <text>
        <r>
          <rPr>
            <b/>
            <sz val="8"/>
            <color indexed="81"/>
            <rFont val="Tahoma"/>
            <family val="2"/>
          </rPr>
          <t>Sensitivity rcvr_box = NFrcvr_box + (-174) + Coded Eb/No + 10*log(fb_coded) + Lsyst_interference + Lrcvr_implement + Ldata_rate_margin</t>
        </r>
      </text>
    </comment>
    <comment ref="F53" authorId="0">
      <text>
        <r>
          <rPr>
            <b/>
            <sz val="8"/>
            <color indexed="81"/>
            <rFont val="Tahoma"/>
            <family val="2"/>
          </rPr>
          <t>Difference between sensitivity at receiver system and receiver box is: NFrcvr - 10*log(Tsyst/290)</t>
        </r>
      </text>
    </comment>
    <comment ref="H53" authorId="0">
      <text>
        <r>
          <rPr>
            <b/>
            <sz val="8"/>
            <color indexed="81"/>
            <rFont val="Tahoma"/>
            <family val="2"/>
          </rPr>
          <t>Sensitivity rcvr_box = NFrcvr_box + (-174) + Coded Eb/No + 10*log(fb_coded) + Lsyst_interference + Lrcvr_implement + Ldata_rate_margin</t>
        </r>
      </text>
    </comment>
    <comment ref="L53" authorId="0">
      <text>
        <r>
          <rPr>
            <b/>
            <sz val="8"/>
            <color indexed="81"/>
            <rFont val="Tahoma"/>
            <family val="2"/>
          </rPr>
          <t>Difference between sensitivity at receiver system and receiver box is: NFrcvr - 10*log(Tsyst/290)</t>
        </r>
      </text>
    </comment>
    <comment ref="N53" authorId="0">
      <text>
        <r>
          <rPr>
            <b/>
            <sz val="8"/>
            <color indexed="81"/>
            <rFont val="Tahoma"/>
            <family val="2"/>
          </rPr>
          <t>Sensitivity rcvr_box = NFrcvr_box + (-174) + Coded Eb/No + 10*log(fb_coded) + Lsyst_interference + Lrcvr_implement + Ldata_rate_margin</t>
        </r>
      </text>
    </comment>
    <comment ref="R53" authorId="0">
      <text>
        <r>
          <rPr>
            <b/>
            <sz val="8"/>
            <color indexed="81"/>
            <rFont val="Tahoma"/>
            <family val="2"/>
          </rPr>
          <t>Difference between sensitivity at receiver system and receiver box is: NFrcvr - 10*log(Tsyst/290)</t>
        </r>
      </text>
    </comment>
    <comment ref="B67" authorId="0">
      <text>
        <r>
          <rPr>
            <b/>
            <sz val="8"/>
            <color indexed="81"/>
            <rFont val="Tahoma"/>
            <family val="2"/>
          </rPr>
          <t>The G/T is calcuated at LNA input: Grx_ant - 10*log(Tsyst) - Lta cable - Lduplex/cable</t>
        </r>
      </text>
    </comment>
    <comment ref="B78" authorId="0">
      <text>
        <r>
          <rPr>
            <b/>
            <sz val="8"/>
            <color indexed="81"/>
            <rFont val="Tahoma"/>
            <family val="2"/>
          </rPr>
          <t xml:space="preserve">Tsyst =Tant fin x (Gta cable -1) x (Lta cable x Lduplexer/cable) + (Tsky/2 + Tta/2) x (Lta cable x Lduplexer/cable) + Tta x (Gduplexer/cable – 1) x
 Lduplexer/cable + Tta x (10^(NFlna/10) –1) + Tta x (Gcable - 1) / (Glna) + Tta x (10^(NFreceiver/10) – 1) / (Glna x lcable)     
where Tsyst reference point at LNA input and first three terms are Tant elements. Passive component G is linear gain derived from positive dB number and L  is linear loss derived from negative dB number
</t>
        </r>
      </text>
    </comment>
    <comment ref="B87" authorId="0">
      <text>
        <r>
          <rPr>
            <b/>
            <sz val="8"/>
            <color indexed="81"/>
            <rFont val="Tahoma"/>
            <family val="2"/>
          </rPr>
          <t>Coded Eb/No = Uncoded Eb/No - 10*log(fb_coded / fb_uncoded)</t>
        </r>
      </text>
    </comment>
    <comment ref="B89" authorId="0">
      <text>
        <r>
          <rPr>
            <b/>
            <sz val="8"/>
            <color indexed="81"/>
            <rFont val="Tahoma"/>
            <family val="2"/>
          </rPr>
          <t>This is ACI generated by noise floor augumented by same signals from each side of the adjacent CH. See ACI spreadsheet for ACI budget.</t>
        </r>
      </text>
    </comment>
    <comment ref="B90" authorId="0">
      <text>
        <r>
          <rPr>
            <b/>
            <sz val="8"/>
            <color indexed="81"/>
            <rFont val="Tahoma"/>
            <family val="2"/>
          </rPr>
          <t>EIRP (in dBW) - Lant_margin - Lspace -10*log(k) - Latmosphere + Gta_ant - 10*log(Tsyst) - Lrx_duplexer - Lta_cable -  Lpointing - Lpolarization - 10*log(fb) - Ldata_margin - Eb/No - Levm_rcvr_impl - Lsyst_interfere.
For symmetrical HPA and range between uplink and downlink, the higher uplink excess margin than downlink is contributed by uplink and downlink differences on: 10*log(Tsys), Lta_cable, 10*log(fb)</t>
        </r>
      </text>
    </comment>
    <comment ref="B94" authorId="0">
      <text>
        <r>
          <rPr>
            <b/>
            <sz val="8"/>
            <color indexed="81"/>
            <rFont val="Tahoma"/>
            <family val="2"/>
          </rPr>
          <t>EIRP (in dBm) - Lant_margin - Lspace - Latmosphere</t>
        </r>
      </text>
    </comment>
    <comment ref="B95" authorId="0">
      <text>
        <r>
          <rPr>
            <b/>
            <sz val="8"/>
            <color indexed="81"/>
            <rFont val="Tahoma"/>
            <family val="2"/>
          </rPr>
          <t>Input arriving ta_ant + Gta_ant - Lta_point - Lta_polarization - Lta_cable - Lduplexer/cable</t>
        </r>
      </text>
    </comment>
    <comment ref="B96"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B97" authorId="0">
      <text>
        <r>
          <rPr>
            <b/>
            <sz val="8"/>
            <color indexed="81"/>
            <rFont val="Tahoma"/>
            <family val="2"/>
          </rPr>
          <t>From uncoded Eb/No vs BER plot</t>
        </r>
      </text>
    </comment>
    <comment ref="B98"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B101" authorId="0">
      <text>
        <r>
          <rPr>
            <b/>
            <sz val="8"/>
            <color indexed="81"/>
            <rFont val="Tahoma"/>
            <family val="2"/>
          </rPr>
          <t>Receiver sensitivity =Coded Eb/No(dB/bit) +No(syst_thermal noise in dBm/Hz) +10*log(fb_coded) + Lsyst_interference + Lrcvr_implement + Ldata_rate_margin</t>
        </r>
      </text>
    </comment>
    <comment ref="B104" authorId="0">
      <text>
        <r>
          <rPr>
            <b/>
            <sz val="8"/>
            <color indexed="81"/>
            <rFont val="Tahoma"/>
            <family val="2"/>
          </rPr>
          <t>Es/No = Coded Eb/No + 10*log(k) where k = code rate x log2 (# of states)</t>
        </r>
        <r>
          <rPr>
            <sz val="8"/>
            <color indexed="81"/>
            <rFont val="Tahoma"/>
            <family val="2"/>
          </rPr>
          <t xml:space="preserve">
</t>
        </r>
      </text>
    </comment>
    <comment ref="B106" authorId="0">
      <text>
        <r>
          <rPr>
            <b/>
            <sz val="8"/>
            <color indexed="81"/>
            <rFont val="Tahoma"/>
            <family val="2"/>
          </rPr>
          <t>Sensitivity rcvr_box = NFrcvr_box + (-174) + Coded Eb/No + 10*log(fb_coded) + Lsyst_interference + Lrcvr_implement + Ldata_rate_margin</t>
        </r>
      </text>
    </comment>
    <comment ref="F106" authorId="0">
      <text>
        <r>
          <rPr>
            <b/>
            <sz val="8"/>
            <color indexed="81"/>
            <rFont val="Tahoma"/>
            <family val="2"/>
          </rPr>
          <t>Difference between sensitivity at receiver system and receiver box is: NFrcvr - 10*log(Tsyst/290)</t>
        </r>
      </text>
    </comment>
  </commentList>
</comments>
</file>

<file path=xl/comments4.xml><?xml version="1.0" encoding="utf-8"?>
<comments xmlns="http://schemas.openxmlformats.org/spreadsheetml/2006/main">
  <authors>
    <author>Simon Liang</author>
    <author>Jet Propulsion Laboratory</author>
  </authors>
  <commentList>
    <comment ref="B5" authorId="0">
      <text>
        <r>
          <rPr>
            <b/>
            <sz val="8"/>
            <color indexed="81"/>
            <rFont val="Tahoma"/>
            <family val="2"/>
          </rPr>
          <t>Why uplink/downlink are supported? This is TDM in a single carrier, so this is what a physical CH sees as bi-directional traffic being supported. But when specify HW (RF, mod/demod, encode/decode...) specs at each end, what traffic arrives are the ones supported by HW.</t>
        </r>
      </text>
    </comment>
    <comment ref="B6" authorId="1">
      <text>
        <r>
          <rPr>
            <b/>
            <sz val="8"/>
            <color indexed="81"/>
            <rFont val="Tahoma"/>
            <family val="2"/>
          </rPr>
          <t>aggregate efficiency = MAC user rate/CH bit rate</t>
        </r>
      </text>
    </comment>
    <comment ref="B7" authorId="1">
      <text>
        <r>
          <rPr>
            <b/>
            <sz val="8"/>
            <color indexed="81"/>
            <rFont val="Tahoma"/>
            <family val="2"/>
          </rPr>
          <t>Rinfo = Ruser / aggregate efficiency. With OH, this is roughly the layer-2 information rate</t>
        </r>
      </text>
    </comment>
    <comment ref="B8" authorId="1">
      <text>
        <r>
          <rPr>
            <b/>
            <sz val="8"/>
            <color indexed="81"/>
            <rFont val="Tahoma"/>
            <family val="2"/>
          </rPr>
          <t>Tsym = # sub-carriers x (coded bits per sub-carrier) x (code rate) / req CH total bit rate = tot Tsym w OH per sub-carrier</t>
        </r>
      </text>
    </comment>
    <comment ref="B9" authorId="1">
      <text>
        <r>
          <rPr>
            <b/>
            <sz val="8"/>
            <color indexed="81"/>
            <rFont val="Tahoma"/>
            <family val="2"/>
          </rPr>
          <t>BWoccupied = # tot carriers / tot Tsym w OH per subcarrier</t>
        </r>
      </text>
    </comment>
    <comment ref="B10" authorId="1">
      <text>
        <r>
          <rPr>
            <b/>
            <sz val="8"/>
            <color indexed="81"/>
            <rFont val="Tahoma"/>
            <family val="2"/>
          </rPr>
          <t>IRIG-106 Appendix A Table A-2:
*NRZ PCM/FM, premod filter BW=.7R, deltaF=.35R  BWocc=1.16R
*NRZ PCM/FM, no premod filter, deltaF=.25R  BWocc=1.18R
*NRZ PCM/FM, no premod filter, deltaF=.35R  BWocc=1.78R
*NRZ PCM/FM, no premod filter, deltaF=.4R  BWocc=1.93R
*NRZ PCM/FM, premod filter BW=.7R, deltaF=.4R  BWocc=1.57R
*MSK, no filter BWocc=1.18R
*FQOSP-B, FQPSK-JR or SOQPSK-TG  BWocc=.78R
*ARTM CPM    BWocc=.56R
R=coded CH rate = Rinfo / code rate</t>
        </r>
      </text>
    </comment>
    <comment ref="B13" authorId="1">
      <text>
        <r>
          <rPr>
            <b/>
            <sz val="8"/>
            <color indexed="81"/>
            <rFont val="Tahoma"/>
            <family val="2"/>
          </rPr>
          <t>CH info bit rate = usable CH bit rate / [(1-t guard band OH ratio)x(1-link outage ratio)x(1-data granularity OH ratio)x(1-synchronization OH ratio)x(1-link layer control msg OH ratio)x(1-link layer encryption OH ratio)*(1-link layer framing OH ratio)x(1-secure handshake OH ratio)</t>
        </r>
      </text>
    </comment>
    <comment ref="B15" authorId="1">
      <text>
        <r>
          <rPr>
            <b/>
            <sz val="8"/>
            <color indexed="81"/>
            <rFont val="Tahoma"/>
            <family val="2"/>
          </rPr>
          <t>PHY layer availability due to range interference. link outage = 1 - multipath fade availability ratio x interference range availability ratio.
It calculates the link outage since telemetry drops can occur due to multi-path, external interference, blockage, or bad geometries for both SOQPSK-TG and OFDM waveforms. Based on measurements in a past flight experiment, about 3.2k OFDM frames were received over the course of 1331s of flight time. The OFDM frames used for the flight experiment were composed of 898 symbols at a symbol time of 4.57 μs. The OFDM frame had a frame time Tframe = 4 ms. The test range availability was 3.2k x Tframe / 1331s = 97.8%. Although this value should be heavily dependent on the setting, as well as concerns on availability due to other interference, therefore 92% availability is used for the analysis. The multipath fade availability, described in section B.1.3.3, is dependent on antenna size, waveform modulation, HPA power level, and range.</t>
        </r>
      </text>
    </comment>
    <comment ref="B18" authorId="0">
      <text>
        <r>
          <rPr>
            <b/>
            <sz val="8"/>
            <color indexed="81"/>
            <rFont val="Tahoma"/>
            <family val="2"/>
          </rPr>
          <t># of codeblocks n= 1 min, 2, 3,….up to 8 max</t>
        </r>
      </text>
    </comment>
    <comment ref="B19" authorId="1">
      <text>
        <r>
          <rPr>
            <b/>
            <sz val="8"/>
            <color indexed="81"/>
            <rFont val="Tahoma"/>
            <family val="2"/>
          </rPr>
          <t>Td_GS_MAX = 100nm / light speed</t>
        </r>
      </text>
    </comment>
    <comment ref="B20" authorId="1">
      <text>
        <r>
          <rPr>
            <b/>
            <sz val="8"/>
            <color indexed="81"/>
            <rFont val="Tahoma"/>
            <family val="2"/>
          </rPr>
          <t>guard time ratio = (2xTd_GS_MAX + # users per CH x TGMIN) / [(2xTd_GS_MAX+ # users per CH x TGMIN)+Tepoch]. TDMA guard/wait time related to TDMA structure.
Equation is the guard band overhead ratio that calculates the loss of efficiencies as a result of guard time allocated between timeslots for different TAs with respect to the TDMA epoch period. This applies to both SC-SOQPSK and OFDM waveforms. The guard time from GS to TA is td_GS_MAX (see DEFID -5.1-14) while from TA to GS it is tGMIN (see DEFID-5.1-17). For TA to GS, transmission and its associated guard time is TA specific and depends on number of TAs. According to Section 5.1, value for td_GS_MAX is ~617 µs (for 100 nmi) and 7 μs for tGMIN.</t>
        </r>
      </text>
    </comment>
    <comment ref="B23" authorId="1">
      <text>
        <r>
          <rPr>
            <b/>
            <sz val="8"/>
            <color indexed="81"/>
            <rFont val="Tahoma"/>
            <family val="2"/>
          </rPr>
          <t>Data rate granularity OH ratio = (TA #s x D codeblk info) / [(TA #s x D codeblk info) + Ruser rate x Tepoch]. 
Difference between required data rate and the assignable data rate. Timeslot allocation is equivalent to data rate assignment. Small assignable data rate unit allocated to TA is 1 codeblock with x duration. For y epoch, we get timeslot quantization at a step of x / y of an epoch period.
It calculates the loss of efficiency due to the granularity of assignable data rate that is a result of the difference between the required data rate and the assignable data rate for both SOQPSK-TG and OFDM waveforms. For TDMA, time allocation is equivalent to data rate assignment. The smallest assignable data rate unit that can be allocated to a TA is 1 LDPC codeblock size of 4096 information bits. For example, for the SOQPSK-TG waveform in Table A2, the user data rate is 8.8 Mbps, so the LDPC codeblock duration is 4096 bits / 8.8 Mbps = .465 ms. For an epoch period of 100 ms, this corresponds to a time slot quantization of .465 / 100 = .465% of an epoch. As a worse case where one unutilized codeblock occurred for each TA, the data rate granularity efficiency is 1 - .465% x 4 TAs = 98.1%.</t>
        </r>
      </text>
    </comment>
    <comment ref="B24" authorId="1">
      <text>
        <r>
          <rPr>
            <b/>
            <sz val="8"/>
            <color indexed="81"/>
            <rFont val="Tahoma"/>
            <family val="2"/>
          </rPr>
          <t xml:space="preserve">synch OH ratio = (OHpreamble + OH_ASM)/[(OHpreamble+OH_ASM)+Dcodeblk info]. Preamble consists of 128 bits for SOQPSK. Uses ASM marker consisting 64 bits for each group of 1, 2, ….8 codeblocks. Use 1 codeblock as worse case. Each codeblock frame is preceded by a preamble (24 bits for OFDM QPSK &amp; 46 bits for 16-QAM, 128 bits for SOQPSK).
It calculates the loss of efficiency due to burst preamble and frame synchronization overhead required for both SOQPSK-TG and OFDM waveforms. An LDPC code system is adopted where a codeblock frame w min # codeblock of 4096 information bits preceded with a 64 bit Attached Synch Marker (ASM). </t>
        </r>
      </text>
    </comment>
    <comment ref="B26" authorId="1">
      <text>
        <r>
          <rPr>
            <b/>
            <sz val="8"/>
            <color indexed="81"/>
            <rFont val="Tahoma"/>
            <family val="2"/>
          </rPr>
          <t>Mean MAC packet size distribution is ~ 893bytes (7140bits)
PDU = packet data unit. See standard appendix section E.</t>
        </r>
      </text>
    </comment>
    <comment ref="B27" authorId="0">
      <text>
        <r>
          <rPr>
            <b/>
            <sz val="8"/>
            <color indexed="81"/>
            <rFont val="Tahoma"/>
            <family val="2"/>
          </rPr>
          <t>link layer framing OH ratio = OH_data pattern dep / 256 + (OHflag + OHfcs)/[(OHflag + OHfcs) + Dmean PDU length]. It calculates the loss off efficiency due to layer 2 link layer framing overhead for both SOQPSK-TG and OFDM waveforms. A link layer framing protocol is needed for recovering packet from the data stream. An HDLC framing synchronization is utilized with 1 byte flag, 2 bytes frame check sequence (FCS), and data pattern dependent overhead 2/256 of packet size.</t>
        </r>
        <r>
          <rPr>
            <sz val="8"/>
            <color indexed="81"/>
            <rFont val="Tahoma"/>
            <family val="2"/>
          </rPr>
          <t xml:space="preserve">
</t>
        </r>
      </text>
    </comment>
    <comment ref="B28" authorId="0">
      <text>
        <r>
          <rPr>
            <b/>
            <sz val="8"/>
            <color indexed="81"/>
            <rFont val="Tahoma"/>
            <family val="2"/>
          </rPr>
          <t>LL enryption OH ratio = 8 x 52 bytes / (8 x 52 bytes + Dcodeblk info). Each codeblock requires 52 bytes of LL security OH. Note 52 bytes OH header is per the certified 802.11i AES-CCMP structure</t>
        </r>
      </text>
    </comment>
    <comment ref="B29" authorId="0">
      <text>
        <r>
          <rPr>
            <b/>
            <sz val="8"/>
            <color indexed="81"/>
            <rFont val="Tahoma"/>
            <family val="2"/>
          </rPr>
          <t>security handshake OH ratio =TA #s(OH from TA + OH from GS)/[TA#s(OH from TA + OH from GS)+# handshakes x tepoch x user data rate)].
Handshake OH is based on 4-way handshakes one per 864k epochs (24 hr span), for total of 4x8 codeblocks.</t>
        </r>
      </text>
    </comment>
    <comment ref="B30" authorId="1">
      <text>
        <r>
          <rPr>
            <b/>
            <sz val="8"/>
            <color indexed="81"/>
            <rFont val="Tahoma"/>
            <family val="2"/>
          </rPr>
          <t>control msg OH ratio = # TAs x 8 (M from GS + M from TA)/[# TAs x 8 (M from GS + M from TA)+Tepoch x Ruser rate)]
It calculates the loss of efficiency due to layer 2 control link messages for both SOQPSK-TG and OFDM waveforms. It is based on 100 bytes for each direction (uplink from GS and downlink from TA) per epoch.</t>
        </r>
      </text>
    </comment>
    <comment ref="B31" authorId="1">
      <text>
        <r>
          <rPr>
            <b/>
            <sz val="8"/>
            <color indexed="81"/>
            <rFont val="Tahoma"/>
            <family val="2"/>
          </rPr>
          <t>same as required CH user data rate</t>
        </r>
      </text>
    </comment>
    <comment ref="B32" authorId="1">
      <text>
        <r>
          <rPr>
            <b/>
            <sz val="8"/>
            <color indexed="81"/>
            <rFont val="Tahoma"/>
            <family val="2"/>
          </rPr>
          <t xml:space="preserve">aggregate efficiency=MAC user rate/CH req total bit rate. </t>
        </r>
      </text>
    </comment>
    <comment ref="E43" authorId="1">
      <text>
        <r>
          <rPr>
            <b/>
            <sz val="8"/>
            <color indexed="81"/>
            <rFont val="Tahoma"/>
            <family val="2"/>
          </rPr>
          <t>Raised-cosine filter H(f) = 1/2 x (1 - sin[pi x (f/fn - 1)/(2 x alpha)]).
f = BW(actual) = fn x (2 x alpha x inverse sin[1-2 x H(f)] / pi + 1)</t>
        </r>
        <r>
          <rPr>
            <sz val="8"/>
            <color indexed="81"/>
            <rFont val="Tahoma"/>
            <family val="2"/>
          </rPr>
          <t xml:space="preserve">
</t>
        </r>
      </text>
    </comment>
  </commentList>
</comments>
</file>

<file path=xl/comments5.xml><?xml version="1.0" encoding="utf-8"?>
<comments xmlns="http://schemas.openxmlformats.org/spreadsheetml/2006/main">
  <authors>
    <author>Jet Propulsion Laboratory</author>
    <author>Simon Liang</author>
  </authors>
  <commentList>
    <comment ref="F4" authorId="0">
      <text>
        <r>
          <rPr>
            <b/>
            <sz val="8"/>
            <color indexed="81"/>
            <rFont val="Tahoma"/>
            <family val="2"/>
          </rPr>
          <t>Es/No = Eb/No + bit/sym</t>
        </r>
      </text>
    </comment>
    <comment ref="G4" authorId="0">
      <text>
        <r>
          <rPr>
            <b/>
            <sz val="8"/>
            <color indexed="81"/>
            <rFont val="Tahoma"/>
            <family val="2"/>
          </rPr>
          <t>per CH DR=# user sub-carriers x user bits/sym x (1/Ttot symbol)</t>
        </r>
      </text>
    </comment>
    <comment ref="F14" authorId="0">
      <text>
        <r>
          <rPr>
            <b/>
            <sz val="8"/>
            <color indexed="81"/>
            <rFont val="Tahoma"/>
            <family val="2"/>
          </rPr>
          <t>Es/No = Eb/No + bit/sym</t>
        </r>
      </text>
    </comment>
    <comment ref="C16" authorId="1">
      <text>
        <r>
          <rPr>
            <b/>
            <sz val="8"/>
            <color indexed="81"/>
            <rFont val="Tahoma"/>
            <family val="2"/>
          </rPr>
          <t>Note: this is uncoded Eb/No for FER of 10^-4.
FER is same as codeblock error rate.</t>
        </r>
      </text>
    </comment>
    <comment ref="F20" authorId="1">
      <text>
        <r>
          <rPr>
            <b/>
            <sz val="8"/>
            <color indexed="81"/>
            <rFont val="Tahoma"/>
            <family val="2"/>
          </rPr>
          <t>BER = 1-exp(ln(1-PER)/L)
where L = packet size</t>
        </r>
      </text>
    </comment>
    <comment ref="F21" authorId="1">
      <text>
        <r>
          <rPr>
            <b/>
            <sz val="8"/>
            <color indexed="81"/>
            <rFont val="Tahoma"/>
            <family val="2"/>
          </rPr>
          <t>CER = 1-(1-BER)^L
where L = codeblock size</t>
        </r>
      </text>
    </comment>
    <comment ref="B22" authorId="1">
      <text>
        <r>
          <rPr>
            <b/>
            <sz val="8"/>
            <color indexed="81"/>
            <rFont val="Tahoma"/>
            <family val="2"/>
          </rPr>
          <t xml:space="preserve">Frame error rate = 10^-4/err pkt x 4096 bits/codeblock 
                              8000 bits/pkt x frame/(8 codeblocks)
       = 4.1x 10^-4/frame (worse case here when 1 frame occupies entire burst slot or 8 codeblocks)
</t>
        </r>
        <r>
          <rPr>
            <sz val="8"/>
            <color indexed="81"/>
            <rFont val="Tahoma"/>
            <family val="2"/>
          </rPr>
          <t xml:space="preserve">
</t>
        </r>
      </text>
    </comment>
  </commentList>
</comments>
</file>

<file path=xl/comments6.xml><?xml version="1.0" encoding="utf-8"?>
<comments xmlns="http://schemas.openxmlformats.org/spreadsheetml/2006/main">
  <authors>
    <author>Simon Liang</author>
    <author>Jet Propulsion Laboratory</author>
  </authors>
  <commentList>
    <comment ref="B14" authorId="0">
      <text>
        <r>
          <rPr>
            <b/>
            <sz val="8"/>
            <color indexed="81"/>
            <rFont val="Tahoma"/>
            <family val="2"/>
          </rPr>
          <t>The G/T is calcuated at LNA input: Grx_ant - 10*log(Tsyst) - Lta cable - Lduplex/cable</t>
        </r>
      </text>
    </comment>
    <comment ref="H14" authorId="0">
      <text>
        <r>
          <rPr>
            <b/>
            <sz val="8"/>
            <color indexed="81"/>
            <rFont val="Tahoma"/>
            <family val="2"/>
          </rPr>
          <t>The G/T is calcuated at LNA input: Grx_ant - 10*log(Tsyst) - Lta cable - Lduplex/cable</t>
        </r>
      </text>
    </comment>
    <comment ref="O14" authorId="0">
      <text>
        <r>
          <rPr>
            <b/>
            <sz val="8"/>
            <color indexed="81"/>
            <rFont val="Tahoma"/>
            <family val="2"/>
          </rPr>
          <t>The G/T is calcuated at LNA input: Grx_ant - 10*log(Tsyst) - Lta cable - Lduplex/cable</t>
        </r>
      </text>
    </comment>
    <comment ref="B25" authorId="0">
      <text>
        <r>
          <rPr>
            <b/>
            <sz val="8"/>
            <color indexed="81"/>
            <rFont val="Tahoma"/>
            <family val="2"/>
          </rPr>
          <t xml:space="preserve">Tsyst =Tant fin x (Gta cable -1) x (Lta cable x Lduplexer/cable) + (Tsky/2 + Tta/2) x (Lta cable x Lduplexer/cable) + Tta x (Gduplexer/cable – 1) x
 Lduplexer/cable + Tta x (10^(NFreceiver/10) – 1)  
where Tsyst reference point at receiver blackbox input and first three terms are Tant elements. Passive component G is linear gain derived from positive dB number and L  is linear loss derived from negative dB number
</t>
        </r>
      </text>
    </comment>
    <comment ref="H25" authorId="0">
      <text>
        <r>
          <rPr>
            <b/>
            <sz val="8"/>
            <color indexed="81"/>
            <rFont val="Tahoma"/>
            <family val="2"/>
          </rPr>
          <t xml:space="preserve">Tsyst =Tant fin x (Gta cable -1) x (Lta cable x Lduplexer/cable) + (Tsky/2 + Tta/2) x (Lta cable x Lduplexer/cable) + Tta x (Gduplexer/cable – 1) x
 Lduplexer/cable + Tta x (10^(NFreceiver/10) – 1)  
where Tsyst reference point at receiver blackbox input and first three terms are Tant elements. Passive component G is linear gain derived from positive dB number and L  is linear loss derived from negative dB number
</t>
        </r>
      </text>
    </comment>
    <comment ref="O25" authorId="0">
      <text>
        <r>
          <rPr>
            <b/>
            <sz val="8"/>
            <color indexed="81"/>
            <rFont val="Tahoma"/>
            <family val="2"/>
          </rPr>
          <t xml:space="preserve">Tsyst =Tant fin x (Gta cable -1) x (Lta cable x Lduplexer/cable) + (Tsky/2 + Tta/2) x (Lta cable x Lduplexer/cable) + Tta x (Gduplexer/cable – 1) x
 Lduplexer/cable + Tta x (10^(NFreceiver/10) – 1)  
where Tsyst reference point at receiver blackbox input and first three terms are Tant elements. Passive component G is linear gain derived from positive dB number and L  is linear loss derived from negative dB number
</t>
        </r>
      </text>
    </comment>
    <comment ref="B34" authorId="0">
      <text>
        <r>
          <rPr>
            <b/>
            <sz val="8"/>
            <color indexed="81"/>
            <rFont val="Tahoma"/>
            <family val="2"/>
          </rPr>
          <t>Coded Eb/No = Uncoded Eb/No - 10*log(fb_coded / fb_uncoded)</t>
        </r>
      </text>
    </comment>
    <comment ref="H34" authorId="0">
      <text>
        <r>
          <rPr>
            <b/>
            <sz val="8"/>
            <color indexed="81"/>
            <rFont val="Tahoma"/>
            <family val="2"/>
          </rPr>
          <t>Per the F2F agreement</t>
        </r>
      </text>
    </comment>
    <comment ref="O34" authorId="0">
      <text>
        <r>
          <rPr>
            <b/>
            <sz val="8"/>
            <color indexed="81"/>
            <rFont val="Tahoma"/>
            <family val="2"/>
          </rPr>
          <t>Per the F2F agreement</t>
        </r>
      </text>
    </comment>
    <comment ref="H36" authorId="0">
      <text>
        <r>
          <rPr>
            <b/>
            <sz val="8"/>
            <color indexed="81"/>
            <rFont val="Tahoma"/>
            <family val="2"/>
          </rPr>
          <t>This is ACI generated by noise floor augumented by same signals from each side of the adjacent CH. See ACI spreadsheet for ACI budget.</t>
        </r>
      </text>
    </comment>
    <comment ref="O36" authorId="0">
      <text>
        <r>
          <rPr>
            <b/>
            <sz val="8"/>
            <color indexed="81"/>
            <rFont val="Tahoma"/>
            <family val="2"/>
          </rPr>
          <t>This is ACI generated by noise floor augumented by same signals from each side of the adjacent CH. See ACI spreadsheet for ACI budget.</t>
        </r>
      </text>
    </comment>
    <comment ref="B37" authorId="0">
      <text>
        <r>
          <rPr>
            <b/>
            <sz val="8"/>
            <color indexed="81"/>
            <rFont val="Tahoma"/>
            <family val="2"/>
          </rPr>
          <t>EIRP (in dBW) - Lant_margin - Lspace -10*log(k) - Latmosphere + Gta_ant - 10*log(Tsyst) - Lrx_duplexer - Lta_cable -  Lpointing - Lpolarization - 10*log(fb) - Ldata_margin - Eb/No - Levm_rcvr_impl - Lsyst_interfere.
For symmetrical HPA and range between uplink and downlink, the higher uplink excess margin than downlink is contributed by uplink and downlink differences on: 10*log(Tsys), Lta_cable, 10*log(fb)</t>
        </r>
      </text>
    </comment>
    <comment ref="H37" authorId="0">
      <text>
        <r>
          <rPr>
            <b/>
            <sz val="8"/>
            <color indexed="81"/>
            <rFont val="Tahoma"/>
            <family val="2"/>
          </rPr>
          <t>EIRP (in dBW) - Lant_margin - Lspace -10*log(k) - Latmosphere + Gta_ant - 10*log(Tsyst) - Lrx_duplexer - Lta_cable -  Lpointing - Lpolarization - 10*log(fb) - Ldata_margin - Eb/No - Levm_rcvr_impl - Lsyst_interfere.
For symmetrical HPA and range between uplink and downlink, the higher uplink excess margin than downlink is contributed by uplink and downlink differences on: 10*log(Tsys), Lta_cable, 10*log(fb)</t>
        </r>
      </text>
    </comment>
    <comment ref="O37" authorId="0">
      <text>
        <r>
          <rPr>
            <b/>
            <sz val="8"/>
            <color indexed="81"/>
            <rFont val="Tahoma"/>
            <family val="2"/>
          </rPr>
          <t>EIRP (in dBW) - Lant_margin - Lspace -10*log(k) - Latmosphere + Gta_ant - 10*log(Tsyst) - Lrx_duplexer - Lta_cable -  Lpointing - Lpolarization - 10*log(fb) - Ldata_margin - Eb/No - Levm_rcvr_impl - Lsyst_interfere.
For symmetrical HPA and range between uplink and downlink, the higher uplink excess margin than downlink is contributed by uplink and downlink differences on: 10*log(Tsys), Lta_cable, 10*log(fb)</t>
        </r>
      </text>
    </comment>
    <comment ref="B41" authorId="0">
      <text>
        <r>
          <rPr>
            <b/>
            <sz val="8"/>
            <color indexed="81"/>
            <rFont val="Tahoma"/>
            <family val="2"/>
          </rPr>
          <t>EIRP (in dBm) - Lant_margin - Lspace - Latmosphere</t>
        </r>
      </text>
    </comment>
    <comment ref="H41" authorId="0">
      <text>
        <r>
          <rPr>
            <b/>
            <sz val="8"/>
            <color indexed="81"/>
            <rFont val="Tahoma"/>
            <family val="2"/>
          </rPr>
          <t>EIRP (in dBm) - Lant_margin - Lspace - Latmosphere</t>
        </r>
      </text>
    </comment>
    <comment ref="O41" authorId="0">
      <text>
        <r>
          <rPr>
            <b/>
            <sz val="8"/>
            <color indexed="81"/>
            <rFont val="Tahoma"/>
            <family val="2"/>
          </rPr>
          <t>EIRP (in dBm) - Lant_margin - Lspace - Latmosphere</t>
        </r>
      </text>
    </comment>
    <comment ref="B42" authorId="0">
      <text>
        <r>
          <rPr>
            <b/>
            <sz val="8"/>
            <color indexed="81"/>
            <rFont val="Tahoma"/>
            <family val="2"/>
          </rPr>
          <t>Input arriving ta_ant + Gta_ant - Lta_point - Lta_polarization - Lta_cable - Lduplexer/cable</t>
        </r>
      </text>
    </comment>
    <comment ref="H42" authorId="0">
      <text>
        <r>
          <rPr>
            <b/>
            <sz val="8"/>
            <color indexed="81"/>
            <rFont val="Tahoma"/>
            <family val="2"/>
          </rPr>
          <t>Input arriving ta_ant + Gta_ant - Lta_point - Lta_polarization - Lta_cable - Lduplexer/cable</t>
        </r>
      </text>
    </comment>
    <comment ref="O42" authorId="0">
      <text>
        <r>
          <rPr>
            <b/>
            <sz val="8"/>
            <color indexed="81"/>
            <rFont val="Tahoma"/>
            <family val="2"/>
          </rPr>
          <t>Input arriving ta_ant + Gta_ant - Lta_point - Lta_polarization - Lta_cable - Lduplexer/cable</t>
        </r>
      </text>
    </comment>
    <comment ref="B43"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H43"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O43"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B44" authorId="0">
      <text>
        <r>
          <rPr>
            <b/>
            <sz val="8"/>
            <color indexed="81"/>
            <rFont val="Tahoma"/>
            <family val="2"/>
          </rPr>
          <t>From uncoded Eb/No vs BER plot</t>
        </r>
      </text>
    </comment>
    <comment ref="H44" authorId="0">
      <text>
        <r>
          <rPr>
            <b/>
            <sz val="8"/>
            <color indexed="81"/>
            <rFont val="Tahoma"/>
            <family val="2"/>
          </rPr>
          <t>Per the F2F agreement</t>
        </r>
      </text>
    </comment>
    <comment ref="O44" authorId="0">
      <text>
        <r>
          <rPr>
            <b/>
            <sz val="8"/>
            <color indexed="81"/>
            <rFont val="Tahoma"/>
            <family val="2"/>
          </rPr>
          <t>Per the F2F agreement</t>
        </r>
      </text>
    </comment>
    <comment ref="B45"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H45"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O45"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B48" authorId="0">
      <text>
        <r>
          <rPr>
            <b/>
            <sz val="8"/>
            <color indexed="81"/>
            <rFont val="Tahoma"/>
            <family val="2"/>
          </rPr>
          <t>Receiver sensitivity =Coded Eb/No(dB/bit) +No(syst_thermal noise in dBm/Hz) +10*log(fb_coded) + Lsyst_interference + Lrcvr_implement + Ldata_rate_margin</t>
        </r>
      </text>
    </comment>
    <comment ref="H48" authorId="0">
      <text>
        <r>
          <rPr>
            <b/>
            <sz val="8"/>
            <color indexed="81"/>
            <rFont val="Tahoma"/>
            <family val="2"/>
          </rPr>
          <t>Receiver sensitivity =Coded Eb/No(dB/bit) +No(syst_thermal noise in dBm/Hz) +10*log(fb_coded) + Lsyst_interference + Lrcvr_implement + Ldata_rate_margin</t>
        </r>
      </text>
    </comment>
    <comment ref="O48" authorId="0">
      <text>
        <r>
          <rPr>
            <b/>
            <sz val="8"/>
            <color indexed="81"/>
            <rFont val="Tahoma"/>
            <family val="2"/>
          </rPr>
          <t>Receiver sensitivity =Coded Eb/No(dB/bit) +No(syst_thermal noise in dBm/Hz) +10*log(fb_coded) + Lsyst_interference + Lrcvr_implement + Ldata_rate_margin</t>
        </r>
      </text>
    </comment>
    <comment ref="B51" authorId="0">
      <text>
        <r>
          <rPr>
            <b/>
            <sz val="8"/>
            <color indexed="81"/>
            <rFont val="Tahoma"/>
            <family val="2"/>
          </rPr>
          <t>Es/No = Coded Eb/No + 10*log(k) where k = code rate x log2 (# of states)</t>
        </r>
        <r>
          <rPr>
            <sz val="8"/>
            <color indexed="81"/>
            <rFont val="Tahoma"/>
            <family val="2"/>
          </rPr>
          <t xml:space="preserve">
</t>
        </r>
      </text>
    </comment>
    <comment ref="H51" authorId="0">
      <text>
        <r>
          <rPr>
            <b/>
            <sz val="8"/>
            <color indexed="81"/>
            <rFont val="Tahoma"/>
            <family val="2"/>
          </rPr>
          <t>Es/No = Coded Eb/No + 10*log(k) where k = code rate x log2 (# of states)</t>
        </r>
        <r>
          <rPr>
            <sz val="8"/>
            <color indexed="81"/>
            <rFont val="Tahoma"/>
            <family val="2"/>
          </rPr>
          <t xml:space="preserve">
</t>
        </r>
      </text>
    </comment>
    <comment ref="O51" authorId="0">
      <text>
        <r>
          <rPr>
            <b/>
            <sz val="8"/>
            <color indexed="81"/>
            <rFont val="Tahoma"/>
            <family val="2"/>
          </rPr>
          <t>Es/No = Coded Eb/No + 10*log(k) where k = code rate x log2 (# of states)</t>
        </r>
        <r>
          <rPr>
            <sz val="8"/>
            <color indexed="81"/>
            <rFont val="Tahoma"/>
            <family val="2"/>
          </rPr>
          <t xml:space="preserve">
</t>
        </r>
      </text>
    </comment>
    <comment ref="B53" authorId="0">
      <text>
        <r>
          <rPr>
            <b/>
            <sz val="8"/>
            <color indexed="81"/>
            <rFont val="Tahoma"/>
            <family val="2"/>
          </rPr>
          <t>Sensitivity rcvr_box = NFrcvr_box + (-174) + Coded Eb/No + 10*log(fb_coded) + Lsyst_interference + Lrcvr_implement + Ldata_rate_margin</t>
        </r>
      </text>
    </comment>
    <comment ref="F53" authorId="0">
      <text>
        <r>
          <rPr>
            <b/>
            <sz val="8"/>
            <color indexed="81"/>
            <rFont val="Tahoma"/>
            <family val="2"/>
          </rPr>
          <t>Difference between sensitivity at receiver system and receiver box is: NFrcvr - 10*log(Tsyst/290)</t>
        </r>
      </text>
    </comment>
    <comment ref="H53" authorId="0">
      <text>
        <r>
          <rPr>
            <b/>
            <sz val="8"/>
            <color indexed="81"/>
            <rFont val="Tahoma"/>
            <family val="2"/>
          </rPr>
          <t>Sensitivity rcvr_box = NFrcvr_box + (-174) + Coded Eb/No + 10*log(fb_coded) + Lsyst_interference + Lrcvr_implement + Ldata_rate_margin</t>
        </r>
      </text>
    </comment>
    <comment ref="L53" authorId="0">
      <text>
        <r>
          <rPr>
            <b/>
            <sz val="8"/>
            <color indexed="81"/>
            <rFont val="Tahoma"/>
            <family val="2"/>
          </rPr>
          <t>Difference between sensitivity at receiver system and receiver box is: NFrcvr - 10*log(Tsyst/290)</t>
        </r>
      </text>
    </comment>
    <comment ref="O53" authorId="0">
      <text>
        <r>
          <rPr>
            <b/>
            <sz val="8"/>
            <color indexed="81"/>
            <rFont val="Tahoma"/>
            <family val="2"/>
          </rPr>
          <t>Sensitivity rcvr_box = NFrcvr_box + (-174) + Coded Eb/No + 10*log(fb_coded) + Lsyst_interference + Lrcvr_implement + Ldata_rate_margin</t>
        </r>
      </text>
    </comment>
    <comment ref="S53" authorId="0">
      <text>
        <r>
          <rPr>
            <b/>
            <sz val="8"/>
            <color indexed="81"/>
            <rFont val="Tahoma"/>
            <family val="2"/>
          </rPr>
          <t>Difference between sensitivity at receiver system and receiver box is: NFrcvr - 10*log(Tsyst/290)</t>
        </r>
      </text>
    </comment>
    <comment ref="B67" authorId="0">
      <text>
        <r>
          <rPr>
            <b/>
            <sz val="8"/>
            <color indexed="81"/>
            <rFont val="Tahoma"/>
            <family val="2"/>
          </rPr>
          <t>The G/T is calcuated at LNA input: Grx_ant - 10*log(Tsyst) - Lta cable - Lduplex/cable</t>
        </r>
      </text>
    </comment>
    <comment ref="B78" authorId="0">
      <text>
        <r>
          <rPr>
            <b/>
            <sz val="8"/>
            <color indexed="81"/>
            <rFont val="Tahoma"/>
            <family val="2"/>
          </rPr>
          <t xml:space="preserve">Tsyst =Tant fin x (Gta cable -1) x (Lta cable x Lduplexer/cable) + (Tsky/2 + Tta/2) x (Lta cable x Lduplexer/cable) + Tta x (Gduplexer/cable – 1) x
 Lduplexer/cable + Tta x (10^(NFreceiver/10) – 1)  
where Tsyst reference point at receiver blackbox input and first three terms are Tant elements. Passive component G is linear gain derived from positive dB number and L  is linear loss derived from negative dB number
</t>
        </r>
      </text>
    </comment>
    <comment ref="B87" authorId="0">
      <text>
        <r>
          <rPr>
            <b/>
            <sz val="8"/>
            <color indexed="81"/>
            <rFont val="Tahoma"/>
            <family val="2"/>
          </rPr>
          <t>Coded Eb/No = Uncoded Eb/No - 10*log(fb_coded / fb_uncoded)</t>
        </r>
      </text>
    </comment>
    <comment ref="B89" authorId="0">
      <text>
        <r>
          <rPr>
            <b/>
            <sz val="8"/>
            <color indexed="81"/>
            <rFont val="Tahoma"/>
            <family val="2"/>
          </rPr>
          <t>This is ACI generated by noise floor augumented by same signals from each side of the adjacent CH. See ACI spreadsheet for ACI budget.</t>
        </r>
      </text>
    </comment>
    <comment ref="B90" authorId="0">
      <text>
        <r>
          <rPr>
            <b/>
            <sz val="8"/>
            <color indexed="81"/>
            <rFont val="Tahoma"/>
            <family val="2"/>
          </rPr>
          <t>EIRP (in dBW) - Lant_margin - Lspace -10*log(k) - Latmosphere + Gta_ant - 10*log(Tsyst) - Lrx_duplexer - Lta_cable -  Lpointing - Lpolarization - 10*log(fb) - Ldata_margin - Eb/No - Levm_rcvr_impl - Lsyst_interfere.
For symmetrical HPA and range between uplink and downlink, the higher uplink excess margin than downlink is contributed by uplink and downlink differences on: 10*log(Tsys), Lta_cable, 10*log(fb)</t>
        </r>
      </text>
    </comment>
    <comment ref="B94" authorId="0">
      <text>
        <r>
          <rPr>
            <b/>
            <sz val="8"/>
            <color indexed="81"/>
            <rFont val="Tahoma"/>
            <family val="2"/>
          </rPr>
          <t>EIRP (in dBm) - Lant_margin - Lspace - Latmosphere</t>
        </r>
      </text>
    </comment>
    <comment ref="B95" authorId="0">
      <text>
        <r>
          <rPr>
            <b/>
            <sz val="8"/>
            <color indexed="81"/>
            <rFont val="Tahoma"/>
            <family val="2"/>
          </rPr>
          <t>Input arriving ta_ant + Gta_ant - Lta_point - Lta_polarization - Lta_cable - Lduplexer/cable</t>
        </r>
      </text>
    </comment>
    <comment ref="B96"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B97" authorId="0">
      <text>
        <r>
          <rPr>
            <b/>
            <sz val="8"/>
            <color indexed="81"/>
            <rFont val="Tahoma"/>
            <family val="2"/>
          </rPr>
          <t>From uncoded Eb/No vs BER plot</t>
        </r>
      </text>
    </comment>
    <comment ref="B98"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B101" authorId="0">
      <text>
        <r>
          <rPr>
            <b/>
            <sz val="8"/>
            <color indexed="81"/>
            <rFont val="Tahoma"/>
            <family val="2"/>
          </rPr>
          <t>Receiver sensitivity =Coded Eb/No(dB/bit) +No(syst_thermal noise in dBm/Hz) +10*log(fb_coded) + Lsyst_interference + Lrcvr_implement + Ldata_rate_margin</t>
        </r>
      </text>
    </comment>
    <comment ref="B104" authorId="0">
      <text>
        <r>
          <rPr>
            <b/>
            <sz val="8"/>
            <color indexed="81"/>
            <rFont val="Tahoma"/>
            <family val="2"/>
          </rPr>
          <t>Es/No = Coded Eb/No + 10*log(k) where k = code rate x log2 (# of states)</t>
        </r>
        <r>
          <rPr>
            <sz val="8"/>
            <color indexed="81"/>
            <rFont val="Tahoma"/>
            <family val="2"/>
          </rPr>
          <t xml:space="preserve">
</t>
        </r>
      </text>
    </comment>
    <comment ref="B106" authorId="0">
      <text>
        <r>
          <rPr>
            <b/>
            <sz val="8"/>
            <color indexed="81"/>
            <rFont val="Tahoma"/>
            <family val="2"/>
          </rPr>
          <t>Sensitivity rcvr_box = NFrcvr_box + (-174) + Coded Eb/No + 10*log(fb_coded) + Lsyst_interference + Lrcvr_implement + Ldata_rate_margin</t>
        </r>
      </text>
    </comment>
    <comment ref="F106" authorId="0">
      <text>
        <r>
          <rPr>
            <b/>
            <sz val="8"/>
            <color indexed="81"/>
            <rFont val="Tahoma"/>
            <family val="2"/>
          </rPr>
          <t>Difference between sensitivity at receiver system and receiver box is: NFrcvr - 10*log(Tsyst/290)</t>
        </r>
      </text>
    </comment>
  </commentList>
</comments>
</file>

<file path=xl/comments7.xml><?xml version="1.0" encoding="utf-8"?>
<comments xmlns="http://schemas.openxmlformats.org/spreadsheetml/2006/main">
  <authors>
    <author>Simon Liang</author>
    <author>Jet Propulsion Laboratory</author>
  </authors>
  <commentList>
    <comment ref="A14" authorId="0">
      <text>
        <r>
          <rPr>
            <b/>
            <sz val="8"/>
            <color indexed="81"/>
            <rFont val="Tahoma"/>
            <family val="2"/>
          </rPr>
          <t>The G/T is calcuated at LNA input: Grx_ant - 10*log(Tsyst) - Ldish/wg - Lduplex/cable</t>
        </r>
      </text>
    </comment>
    <comment ref="A23" authorId="0">
      <text>
        <r>
          <rPr>
            <b/>
            <sz val="8"/>
            <color indexed="81"/>
            <rFont val="Tahoma"/>
            <family val="2"/>
          </rPr>
          <t>Converting GS ant dish temp of 150C to F, then to K: (150-32)*5/9 + 273</t>
        </r>
      </text>
    </comment>
    <comment ref="A25" authorId="0">
      <text>
        <r>
          <rPr>
            <b/>
            <sz val="8"/>
            <color indexed="81"/>
            <rFont val="Tahoma"/>
            <family val="2"/>
          </rPr>
          <t xml:space="preserve">Tsyst =Tdish x (Gdish/wg -1) x (Ldish/wg x Lduplexer/cable) + (Tsky/2 +Tgnd/2) x (Ldish/wg x Lduplexer/cable) + Tgnd x (Gduplexer/cable – 1) x
 Lduplexer/cable + Tgnd x (10^(NFlna/10) –1) + Tgnd x (Gcable - 1) / (Glna) + Tgnd x (10^(NFreceiver/10) – 1) / (Glna x lcable)     
where Tsyst reference point at LNA input and first three terms are Tant elements. Passive component G is linear gain derived from positive dB number and L  is linear loss derived from negative dB number
</t>
        </r>
      </text>
    </comment>
    <comment ref="A34" authorId="0">
      <text>
        <r>
          <rPr>
            <b/>
            <sz val="8"/>
            <color indexed="81"/>
            <rFont val="Tahoma"/>
            <family val="2"/>
          </rPr>
          <t>Per the F2F agreement</t>
        </r>
      </text>
    </comment>
    <comment ref="A36" authorId="0">
      <text>
        <r>
          <rPr>
            <b/>
            <sz val="8"/>
            <color indexed="81"/>
            <rFont val="Tahoma"/>
            <family val="2"/>
          </rPr>
          <t>This is ACI generated by noise floor augumented by same signals from each side of the adjacent CH. See ACI spreadsheet for ACI budget.</t>
        </r>
      </text>
    </comment>
    <comment ref="A37" authorId="0">
      <text>
        <r>
          <rPr>
            <b/>
            <sz val="8"/>
            <color indexed="81"/>
            <rFont val="Tahoma"/>
            <family val="2"/>
          </rPr>
          <t>EIRP (in dBW) - Lant_margin - Lspace -10*log(k) - Latmosphere + Ggs_ant - 10*log(Tsyst) - Lrx_duplexer - Ldish/wg - Lpointing - Lpolarization - 10*log(fb) - Ldata_margin - Eb/No - Levm_rcvr_impl - Lsyst_interfere</t>
        </r>
      </text>
    </comment>
    <comment ref="A41" authorId="0">
      <text>
        <r>
          <rPr>
            <b/>
            <sz val="8"/>
            <color indexed="81"/>
            <rFont val="Tahoma"/>
            <family val="2"/>
          </rPr>
          <t>EIRP (in dBm) - Lant_margin - Lspace - Latmosphere</t>
        </r>
      </text>
    </comment>
    <comment ref="A42" authorId="0">
      <text>
        <r>
          <rPr>
            <b/>
            <sz val="8"/>
            <color indexed="81"/>
            <rFont val="Tahoma"/>
            <family val="2"/>
          </rPr>
          <t>Input arriving gs_ant + Ggs_ant - Lgs_point - Lgs_polarization - Lduplexer - Ldish/wg</t>
        </r>
      </text>
    </comment>
    <comment ref="A43"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A44" authorId="0">
      <text>
        <r>
          <rPr>
            <b/>
            <sz val="8"/>
            <color indexed="81"/>
            <rFont val="Tahoma"/>
            <family val="2"/>
          </rPr>
          <t>Per the F2F agreement</t>
        </r>
      </text>
    </comment>
    <comment ref="A45"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A48" authorId="0">
      <text>
        <r>
          <rPr>
            <b/>
            <sz val="8"/>
            <color indexed="81"/>
            <rFont val="Tahoma"/>
            <family val="2"/>
          </rPr>
          <t>Receiver sensitivity =Coded Eb/No(dB/bit) +No(syst_thermal noise in dBm/Hz) +10*log(fb_coded) + Lsyst_interference + Lrcvr_implement + Ldata_rate_margin</t>
        </r>
      </text>
    </comment>
    <comment ref="A51" authorId="0">
      <text>
        <r>
          <rPr>
            <b/>
            <sz val="8"/>
            <color indexed="81"/>
            <rFont val="Tahoma"/>
            <family val="2"/>
          </rPr>
          <t>Es/No = Coded Eb/No + 10*log(k) where k = code rate x log2 (# of states)</t>
        </r>
        <r>
          <rPr>
            <sz val="8"/>
            <color indexed="81"/>
            <rFont val="Tahoma"/>
            <family val="2"/>
          </rPr>
          <t xml:space="preserve">
</t>
        </r>
      </text>
    </comment>
    <comment ref="A53" authorId="0">
      <text>
        <r>
          <rPr>
            <b/>
            <sz val="8"/>
            <color indexed="81"/>
            <rFont val="Tahoma"/>
            <family val="2"/>
          </rPr>
          <t>Sensitivity rcvr_box = NFrcvr_box + (-174) + Coded Eb/No + 10*log(fb_coded) + Lsyst_interference + Lrcvr_implement + Ldata_rate_margin</t>
        </r>
      </text>
    </comment>
    <comment ref="F53" authorId="0">
      <text>
        <r>
          <rPr>
            <b/>
            <sz val="8"/>
            <color indexed="81"/>
            <rFont val="Tahoma"/>
            <family val="2"/>
          </rPr>
          <t>Difference between sensitivity at receiver system and receiver box is: NFrcvr - 10*log(Tsyst/290)</t>
        </r>
      </text>
    </comment>
  </commentList>
</comments>
</file>

<file path=xl/comments8.xml><?xml version="1.0" encoding="utf-8"?>
<comments xmlns="http://schemas.openxmlformats.org/spreadsheetml/2006/main">
  <authors>
    <author>Simon Liang</author>
    <author>Jet Propulsion Laboratory</author>
  </authors>
  <commentList>
    <comment ref="A14" authorId="0">
      <text>
        <r>
          <rPr>
            <b/>
            <sz val="8"/>
            <color indexed="81"/>
            <rFont val="Tahoma"/>
            <family val="2"/>
          </rPr>
          <t>The G/T is calcuated at LNA input: Grx_ant - 10*log(Tsyst) - Ldish/wg - Lduplex/cable</t>
        </r>
      </text>
    </comment>
    <comment ref="A23" authorId="0">
      <text>
        <r>
          <rPr>
            <b/>
            <sz val="8"/>
            <color indexed="81"/>
            <rFont val="Tahoma"/>
            <family val="2"/>
          </rPr>
          <t>Converting GS ant dish temp of 150C to F, then to K: (150-32)*5/9 + 273</t>
        </r>
      </text>
    </comment>
    <comment ref="A25" authorId="0">
      <text>
        <r>
          <rPr>
            <b/>
            <sz val="8"/>
            <color indexed="81"/>
            <rFont val="Tahoma"/>
            <family val="2"/>
          </rPr>
          <t xml:space="preserve">Tsyst =Tdish x (Gdish/wg -1) x (Ldish/wg x Lduplexer/cable) + (Tsky/2 +Tgnd/2) x (Ldish/wg x Lduplexer/cable) + Tgnd x (Gduplexer/cable – 1) x
 Lduplexer/cable + Tgnd x (10^(NFlna/10) –1) + Tgnd x (Gcable - 1) / (Glna) + Tgnd x (10^(NFreceiver/10) – 1) / (Glna x lcable)     
where Tsyst reference point at LNA input and first three terms are Tant elements. Passive component G is linear gain derived from positive dB number and L  is linear loss derived from negative dB number
</t>
        </r>
      </text>
    </comment>
    <comment ref="A34" authorId="0">
      <text>
        <r>
          <rPr>
            <b/>
            <sz val="8"/>
            <color indexed="81"/>
            <rFont val="Tahoma"/>
            <family val="2"/>
          </rPr>
          <t>Per the F2F agreement</t>
        </r>
      </text>
    </comment>
    <comment ref="A36" authorId="0">
      <text>
        <r>
          <rPr>
            <b/>
            <sz val="8"/>
            <color indexed="81"/>
            <rFont val="Tahoma"/>
            <family val="2"/>
          </rPr>
          <t>This is ACI generated by noise floor augumented by same signals from each side of the adjacent CH. See ACI spreadsheet for ACI budget.</t>
        </r>
      </text>
    </comment>
    <comment ref="A37" authorId="0">
      <text>
        <r>
          <rPr>
            <b/>
            <sz val="8"/>
            <color indexed="81"/>
            <rFont val="Tahoma"/>
            <family val="2"/>
          </rPr>
          <t>EIRP (in dBW) - Lant_margin - Lspace -10*log(k) - Latmosphere + Ggs_ant - 10*log(Tsyst) - Lrx_duplexer - Ldish/wg - Lpointing - Lpolarization - 10*log(fb) - Ldata_margin - Eb/No - Levm_rcvr_impl - Lsyst_interfere</t>
        </r>
      </text>
    </comment>
    <comment ref="A41" authorId="0">
      <text>
        <r>
          <rPr>
            <b/>
            <sz val="8"/>
            <color indexed="81"/>
            <rFont val="Tahoma"/>
            <family val="2"/>
          </rPr>
          <t>EIRP (in dBm) - Lant_margin - Lspace - Latmosphere</t>
        </r>
      </text>
    </comment>
    <comment ref="A42" authorId="0">
      <text>
        <r>
          <rPr>
            <b/>
            <sz val="8"/>
            <color indexed="81"/>
            <rFont val="Tahoma"/>
            <family val="2"/>
          </rPr>
          <t>Input arriving gs_ant + Ggs_ant - Lgs_point - Lgs_polarization - Lduplexer - Ldish/wg</t>
        </r>
      </text>
    </comment>
    <comment ref="A43" authorId="0">
      <text>
        <r>
          <rPr>
            <b/>
            <sz val="8"/>
            <color indexed="81"/>
            <rFont val="Tahoma"/>
            <family val="2"/>
          </rPr>
          <t>System thermal noise = -174 +10*log(Tsyst / 290) = 10*log(k) + 10*log(1000) + 10*log(Tsyst) in dBm/Hz. Note that -174 = 10*log(k*290) + 10*log(1000) since k is in watts (or dBW). 
-174 is thermal level at 290K and 10*log(Tsyst / 290) term corrects for a Tsyst</t>
        </r>
      </text>
    </comment>
    <comment ref="A44" authorId="0">
      <text>
        <r>
          <rPr>
            <b/>
            <sz val="8"/>
            <color indexed="81"/>
            <rFont val="Tahoma"/>
            <family val="2"/>
          </rPr>
          <t>Per the F2F agreement</t>
        </r>
      </text>
    </comment>
    <comment ref="A45" authorId="1">
      <text>
        <r>
          <rPr>
            <b/>
            <sz val="8"/>
            <color indexed="81"/>
            <rFont val="Tahoma"/>
            <family val="2"/>
          </rPr>
          <t>NFTsyst = NFant + (NFlna -1)/Gduplex/cable + (NFcable–1)/(Gduplex/cable x Glna) + (NFreceiver-1)/(Gduplex/cable x GLlna x Gcable)
Solve for NFreceive = Gduplex/cable xGlna x Gcable x [NFTsyst–NFant–(NFlna–1)/Gduplex/cable - (NFcable- 1)/(Gduplex/cable x Glna]+1 
Where NFTsyst=10*log(1+Tsyst/Tgnd), NFant = NFdish/wg + NFduplex/cable, NFdish/wg=1+Tdish/Tgnd x (1/Gdish/wg-1), 
NFduplex/cable=1+Tduplex/cable/Tgnd x (1/Gduplex/cable-1), NFcable =1+Tcable/Tgnd x (1/Gcable-1)                                       
where Tduplex/cable = Tgnd, Tcable = Tgnd</t>
        </r>
      </text>
    </comment>
    <comment ref="A48" authorId="0">
      <text>
        <r>
          <rPr>
            <b/>
            <sz val="8"/>
            <color indexed="81"/>
            <rFont val="Tahoma"/>
            <family val="2"/>
          </rPr>
          <t>Receiver sensitivity =Coded Eb/No(dB/bit) +No(syst_thermal noise in dBm/Hz) +10*log(fb_coded) + Lsyst_interference + Lrcvr_implement + Ldata_rate_margin</t>
        </r>
      </text>
    </comment>
    <comment ref="A51" authorId="0">
      <text>
        <r>
          <rPr>
            <b/>
            <sz val="8"/>
            <color indexed="81"/>
            <rFont val="Tahoma"/>
            <family val="2"/>
          </rPr>
          <t>Es/No = Coded Eb/No + 10*log(k) where k = code rate x log2 (# of states)</t>
        </r>
        <r>
          <rPr>
            <sz val="8"/>
            <color indexed="81"/>
            <rFont val="Tahoma"/>
            <family val="2"/>
          </rPr>
          <t xml:space="preserve">
</t>
        </r>
      </text>
    </comment>
    <comment ref="A53" authorId="0">
      <text>
        <r>
          <rPr>
            <b/>
            <sz val="8"/>
            <color indexed="81"/>
            <rFont val="Tahoma"/>
            <family val="2"/>
          </rPr>
          <t>Sensitivity rcvr_box = NFrcvr_box + (-174) + Coded Eb/No + 10*log(fb_coded) + Lsyst_interference + Lrcvr_implement + Ldata_rate_margin</t>
        </r>
      </text>
    </comment>
    <comment ref="F53" authorId="0">
      <text>
        <r>
          <rPr>
            <b/>
            <sz val="8"/>
            <color indexed="81"/>
            <rFont val="Tahoma"/>
            <family val="2"/>
          </rPr>
          <t>Difference between sensitivity at receiver system and receiver box is: NFrcvr - 10*log(Tsyst/290)</t>
        </r>
      </text>
    </comment>
  </commentList>
</comments>
</file>

<file path=xl/comments9.xml><?xml version="1.0" encoding="utf-8"?>
<comments xmlns="http://schemas.openxmlformats.org/spreadsheetml/2006/main">
  <authors>
    <author>Simon Liang</author>
    <author>Jet Propulsion Laboratory</author>
  </authors>
  <commentList>
    <comment ref="B4" authorId="0">
      <text>
        <r>
          <rPr>
            <b/>
            <sz val="8"/>
            <color indexed="81"/>
            <rFont val="Tahoma"/>
            <family val="2"/>
          </rPr>
          <t>Why uplink/downlink are supported? This is TDM in a single carrier, so this is what a physical CH sees as bi-directional traffic being supported. But when specify HW (RF, mod/demod, encode/decode...) specs at each end, what traffic arrives are the ones supported by HW.</t>
        </r>
      </text>
    </comment>
    <comment ref="B5" authorId="1">
      <text>
        <r>
          <rPr>
            <b/>
            <sz val="8"/>
            <color indexed="81"/>
            <rFont val="Tahoma"/>
            <family val="2"/>
          </rPr>
          <t>aggregate efficiency = MAC user rate/CH bit rate</t>
        </r>
      </text>
    </comment>
    <comment ref="B6" authorId="1">
      <text>
        <r>
          <rPr>
            <b/>
            <sz val="8"/>
            <color indexed="81"/>
            <rFont val="Tahoma"/>
            <family val="2"/>
          </rPr>
          <t>With OH, this is roughly the layer-2 information rate</t>
        </r>
      </text>
    </comment>
    <comment ref="B7" authorId="1">
      <text>
        <r>
          <rPr>
            <b/>
            <sz val="8"/>
            <color indexed="81"/>
            <rFont val="Tahoma"/>
            <family val="2"/>
          </rPr>
          <t>Tsym = # sub-carriers x (coded bits per sub-carrier) x (code rate) / req CH total bit rate = tot Tsym w OH per sub-carrier</t>
        </r>
      </text>
    </comment>
    <comment ref="B8" authorId="1">
      <text>
        <r>
          <rPr>
            <b/>
            <sz val="8"/>
            <color indexed="81"/>
            <rFont val="Tahoma"/>
            <family val="2"/>
          </rPr>
          <t>BWoccupied = # tot carriers / tot Tsym w OH per subcarrier</t>
        </r>
      </text>
    </comment>
    <comment ref="B11" authorId="1">
      <text>
        <r>
          <rPr>
            <b/>
            <sz val="8"/>
            <color indexed="81"/>
            <rFont val="Tahoma"/>
            <family val="2"/>
          </rPr>
          <t>CH info bit rate = usable CH bit rate / [(1-t guard band OH ratio)x(1-link outage ratio)x(1-data granularity OH ratio)x(1-synchronization OH ratio)x(1-link layer control msg OH ratio)x(1-link layer encryption OH ratio)*(1-link layer framing OH ratio)x(1-secure handshake OH ratio)</t>
        </r>
      </text>
    </comment>
    <comment ref="B13" authorId="1">
      <text>
        <r>
          <rPr>
            <b/>
            <sz val="8"/>
            <color indexed="81"/>
            <rFont val="Tahoma"/>
            <family val="2"/>
          </rPr>
          <t>PHY layer availability due to range interference. link outage = 1 - multipath fade availability ratio x interference range availability ratio.
It calculates the link outage since telemetry drops can occur due to multi-path, external interference, blockage, or bad geometries for both SOQPSK-TG and OFDM waveforms. Based on measurements in a past flight experiment, about 3.2k OFDM frames were received over the course of 1331s of flight time. The OFDM frames used for the flight experiment were composed of 898 symbols at a symbol time of 4.57 μs. The OFDM frame had a frame time Tframe = 4 ms. The test range availability was 3.2k x Tframe / 1331s = 97.8%. Although this value should be heavily dependent on the setting, as well as concerns on availability due to other interference, therefore 92% availability is used for the analysis. The multipath fade availability, described in section B.1.3.3, is dependent on antenna size, waveform modulation, HPA power level, and range.</t>
        </r>
      </text>
    </comment>
    <comment ref="B16" authorId="0">
      <text>
        <r>
          <rPr>
            <b/>
            <sz val="8"/>
            <color indexed="81"/>
            <rFont val="Tahoma"/>
            <family val="2"/>
          </rPr>
          <t># of codeblocks n= 1 min, 2, 3,….up to 8 max</t>
        </r>
      </text>
    </comment>
    <comment ref="B17" authorId="1">
      <text>
        <r>
          <rPr>
            <b/>
            <sz val="8"/>
            <color indexed="81"/>
            <rFont val="Tahoma"/>
            <family val="2"/>
          </rPr>
          <t>Td_GS_MAX = 100nm / light speed</t>
        </r>
      </text>
    </comment>
    <comment ref="B18" authorId="1">
      <text>
        <r>
          <rPr>
            <b/>
            <sz val="8"/>
            <color indexed="81"/>
            <rFont val="Tahoma"/>
            <family val="2"/>
          </rPr>
          <t>guard time ratio = (2xTd_GS_MAX + # users per CH x TGMIN) / [(2xTd_GS_MAX+ # users per CH x TGMIN)+Tepoch]. TDMA guard/wait time related to TDMA structure.
Equation is the guard band overhead ratio that calculates the loss of efficiencies as a result of guard time allocated between timeslots for different TAs with respect to the TDMA epoch period. This applies to both SC-SOQPSK and OFDM waveforms. The guard time from GS to TA is td_GS_MAX (see DEFID -5.1-14) while from TA to GS it is tGMIN (see DEFID-5.1-17). For TA to GS, transmission and its associated guard time is TA specific and depends on number of TAs. According to Section 5.1, value for td_GS_MAX is ~617 µs (for 100 nmi) and 7 μs for tGMIN.</t>
        </r>
      </text>
    </comment>
    <comment ref="B21" authorId="1">
      <text>
        <r>
          <rPr>
            <b/>
            <sz val="8"/>
            <color indexed="81"/>
            <rFont val="Tahoma"/>
            <family val="2"/>
          </rPr>
          <t>Data rate granularity OH ratio = (TA #s x D codeblk info) / [(TA #s x D codeblk info) + Ruser rate x Tepoch]. 
Difference between required data rate and the assignable data rate. Timeslot allocation is equivalent to data rate assignment. Small assignable data rate unit allocated to TA is 1 codeblock with x duration. For y epoch, we get timeslot quantization at a step of x / y of an epoch period.
It calculates the loss of efficiency due to the granularity of assignable data rate that is a result of the difference between the required data rate and the assignable data rate for both SOQPSK-TG and OFDM waveforms. For TDMA, time allocation is equivalent to data rate assignment. The smallest assignable data rate unit that can be allocated to a TA is 1 LDPC codeblock size of 4096 information bits. For example, for the SOQPSK-TG waveform in Table A2, the user data rate is 8.8 Mbps, so the LDPC codeblock duration is 4096 bits / 8.8 Mbps = .465 ms. For an epoch period of 100 ms, this corresponds to a time slot quantization of .465 / 100 = .465% of an epoch. As a worse case where one unutilized codeblock occurred for each TA, the data rate granularity efficiency is 1 - .465% x 4 TAs = 98.1%.</t>
        </r>
      </text>
    </comment>
    <comment ref="B22" authorId="1">
      <text>
        <r>
          <rPr>
            <b/>
            <sz val="8"/>
            <color indexed="81"/>
            <rFont val="Tahoma"/>
            <family val="2"/>
          </rPr>
          <t xml:space="preserve">synch OH ratio = (OHpreamble + OH_ASM)/[(OHpreamble+OH_ASM)+Dcodeblk info]. Preamble consists of 128 bits for SOQPSK. Uses ASM marker consisting 64 bits for each group of 1, 2, ….8 codeblocks. Use 1 codeblock as worse case. Each codeblock frame is preceded by a preamble (24 bits for OFDM QPSK &amp; 46 bits for 16-QAM, 128 bits for SOQPSK).
It calculates the loss of efficiency due to burst preamble and frame synchronization overhead required for both SOQPSK-TG and OFDM waveforms. An LDPC code system is adopted where a codeblock frame w min # codeblock of 4096 information bits preceded with a 64 bit Attached Synch Marker (ASM). </t>
        </r>
      </text>
    </comment>
    <comment ref="B24" authorId="1">
      <text>
        <r>
          <rPr>
            <b/>
            <sz val="8"/>
            <color indexed="81"/>
            <rFont val="Tahoma"/>
            <family val="2"/>
          </rPr>
          <t>Mean MAC packet size distribution is ~ 893bytes (7140bits)
PDU = packet data unit. See standard appendix section E.</t>
        </r>
      </text>
    </comment>
    <comment ref="B25" authorId="0">
      <text>
        <r>
          <rPr>
            <b/>
            <sz val="8"/>
            <color indexed="81"/>
            <rFont val="Tahoma"/>
            <family val="2"/>
          </rPr>
          <t>link layer framing OH ratio = OH_data pattern dep / 256 + (OHflag + OHfcs)/[(OHflag + OHfcs) + Dmean PDU length]. It calculates the loss off efficiency due to layer 2 link layer framing overhead for both SOQPSK-TG and OFDM waveforms. A link layer framing protocol is needed for recovering packet from the data stream. An HDLC framing synchronization is utilized with 1 byte flag, 2 bytes frame check sequence (FCS), and data pattern dependent overhead 2/256 of packet size.</t>
        </r>
        <r>
          <rPr>
            <sz val="8"/>
            <color indexed="81"/>
            <rFont val="Tahoma"/>
            <family val="2"/>
          </rPr>
          <t xml:space="preserve">
</t>
        </r>
      </text>
    </comment>
    <comment ref="B26" authorId="0">
      <text>
        <r>
          <rPr>
            <b/>
            <sz val="8"/>
            <color indexed="81"/>
            <rFont val="Tahoma"/>
            <family val="2"/>
          </rPr>
          <t>LL enryption OH ratio = 8 x 52 bytes / (8 x 52 bytes + Dcodeblk info). Each codeblock requires 52 bytes of LL security OH. Note 52 bytes OH header is per the certified 802.11i AES-CCMP structure</t>
        </r>
      </text>
    </comment>
    <comment ref="B27" authorId="0">
      <text>
        <r>
          <rPr>
            <b/>
            <sz val="8"/>
            <color indexed="81"/>
            <rFont val="Tahoma"/>
            <family val="2"/>
          </rPr>
          <t>security handshake OH ratio =TA #s(OH from TA + OH from GS)/[TA#s(OH from TA + OH from GS)+# handshakes x tepoch x user data rate)].
Handshake OH is based on 4-way handshakes one per 864k epochs (24 hr span), for total of 4x8 codeblocks.</t>
        </r>
      </text>
    </comment>
    <comment ref="B28" authorId="1">
      <text>
        <r>
          <rPr>
            <b/>
            <sz val="8"/>
            <color indexed="81"/>
            <rFont val="Tahoma"/>
            <family val="2"/>
          </rPr>
          <t>control msg OH ratio = # TAs x 8 (M from GS + M from TA)/[# TAs x 8 (M from GS + M from TA)+Tepoch x Ruser rate)]
It calculates the loss of efficiency due to layer 2 control link messages for both SOQPSK-TG and OFDM waveforms. It is based on 100 bytes for each direction (uplink from GS and downlink from TA) per epoch.</t>
        </r>
      </text>
    </comment>
    <comment ref="B29" authorId="1">
      <text>
        <r>
          <rPr>
            <b/>
            <sz val="8"/>
            <color indexed="81"/>
            <rFont val="Tahoma"/>
            <family val="2"/>
          </rPr>
          <t>same as required CH user data rate</t>
        </r>
      </text>
    </comment>
    <comment ref="B30" authorId="1">
      <text>
        <r>
          <rPr>
            <b/>
            <sz val="8"/>
            <color indexed="81"/>
            <rFont val="Tahoma"/>
            <family val="2"/>
          </rPr>
          <t>aggregate efficiency=MAC user rate/CH req total bit rate. Should be close to puncture rate 2/3 = 66.7%</t>
        </r>
      </text>
    </comment>
    <comment ref="E42" authorId="1">
      <text>
        <r>
          <rPr>
            <b/>
            <sz val="8"/>
            <color indexed="81"/>
            <rFont val="Tahoma"/>
            <family val="2"/>
          </rPr>
          <t>Raised-cosine filter H(f) = 1/2 x (1 - sin[pi x (f/fn - 1)/(2 x alpha)]).
f = BW(actual) = fn x (2 x alpha x inverse sin[1-2 x H(f)] / pi + 1)</t>
        </r>
        <r>
          <rPr>
            <sz val="8"/>
            <color indexed="81"/>
            <rFont val="Tahoma"/>
            <family val="2"/>
          </rPr>
          <t xml:space="preserve">
</t>
        </r>
      </text>
    </comment>
  </commentList>
</comments>
</file>

<file path=xl/sharedStrings.xml><?xml version="1.0" encoding="utf-8"?>
<sst xmlns="http://schemas.openxmlformats.org/spreadsheetml/2006/main" count="1639" uniqueCount="291">
  <si>
    <t>EIRP</t>
  </si>
  <si>
    <t>dBW</t>
  </si>
  <si>
    <t>Spaceloss</t>
  </si>
  <si>
    <t>dB</t>
  </si>
  <si>
    <t>Kb</t>
  </si>
  <si>
    <t>atmospheric loss</t>
  </si>
  <si>
    <t>2/3-rate QPSK</t>
  </si>
  <si>
    <t>dB Hz</t>
  </si>
  <si>
    <t>dB/K</t>
  </si>
  <si>
    <t>dBi</t>
  </si>
  <si>
    <t>Watts</t>
  </si>
  <si>
    <t>K</t>
  </si>
  <si>
    <t>Frequency</t>
  </si>
  <si>
    <t>Distance</t>
  </si>
  <si>
    <t>Hz</t>
  </si>
  <si>
    <t xml:space="preserve">   LNA noise figure</t>
  </si>
  <si>
    <t xml:space="preserve">   Sky temp</t>
  </si>
  <si>
    <t>m</t>
  </si>
  <si>
    <t xml:space="preserve">K </t>
  </si>
  <si>
    <t>%</t>
  </si>
  <si>
    <t>bits/sym dB</t>
  </si>
  <si>
    <t>Modulation</t>
  </si>
  <si>
    <t>2/3-QPSK</t>
  </si>
  <si>
    <t>2/3-8-PSK</t>
  </si>
  <si>
    <t>2/3-16 QAM</t>
  </si>
  <si>
    <t>Per Channel DR with 48 4us carriers</t>
  </si>
  <si>
    <t>Threshold</t>
  </si>
  <si>
    <t>Objective</t>
  </si>
  <si>
    <t>Synchronization</t>
  </si>
  <si>
    <t>Mean PDU length</t>
  </si>
  <si>
    <t>bits</t>
  </si>
  <si>
    <t>Codeblock Size (in data bits)</t>
  </si>
  <si>
    <t>Codeblock Size in symbols</t>
  </si>
  <si>
    <t>Time guard bands</t>
  </si>
  <si>
    <t>Epoch</t>
  </si>
  <si>
    <t>sec</t>
  </si>
  <si>
    <t>Center to edge prop delay</t>
  </si>
  <si>
    <t>Target utilization due to burstiness</t>
  </si>
  <si>
    <t>IP + HAIPE Header</t>
  </si>
  <si>
    <t>~130 Byte header</t>
  </si>
  <si>
    <t>User data downlink bit rate - bursty</t>
  </si>
  <si>
    <t>User data downlink bit rate</t>
  </si>
  <si>
    <t>Link Outage</t>
  </si>
  <si>
    <t>Multipath fade %</t>
  </si>
  <si>
    <t>92 percent range availability due to other interference</t>
  </si>
  <si>
    <t>Number of users per channel</t>
  </si>
  <si>
    <t>Efficiency for Const Rate user bits</t>
  </si>
  <si>
    <t>bps</t>
  </si>
  <si>
    <t>Data Rate granularity</t>
  </si>
  <si>
    <t>Excess Link Margin</t>
  </si>
  <si>
    <t>dBm</t>
  </si>
  <si>
    <t xml:space="preserve">bps  </t>
  </si>
  <si>
    <t>Source Bit Rate</t>
  </si>
  <si>
    <t>Source Symbol Rate</t>
  </si>
  <si>
    <t>Code Rate:</t>
  </si>
  <si>
    <t>Tsym</t>
  </si>
  <si>
    <t>us</t>
  </si>
  <si>
    <t>Code Rate</t>
  </si>
  <si>
    <t>sps</t>
  </si>
  <si>
    <t>Physical LPF Bandwidth</t>
  </si>
  <si>
    <t xml:space="preserve">dB </t>
  </si>
  <si>
    <t>nm</t>
  </si>
  <si>
    <t xml:space="preserve">  Multipath Gamma bounce</t>
  </si>
  <si>
    <t xml:space="preserve">  Avail. In multipath</t>
  </si>
  <si>
    <t>2/3-SOQPSK</t>
  </si>
  <si>
    <t>Tsym SOQPSK</t>
  </si>
  <si>
    <t>Occupied BW @ SOQPSK</t>
  </si>
  <si>
    <t>user bits/sym</t>
  </si>
  <si>
    <t>SOQPSK (uncoded)</t>
  </si>
  <si>
    <t>Eb/No dB</t>
  </si>
  <si>
    <t>Es/No dB</t>
  </si>
  <si>
    <t>2/3 LDPC codeblock w 4096 info bits</t>
  </si>
  <si>
    <t>MC-OFDM</t>
  </si>
  <si>
    <t>SC-SOQPSK</t>
  </si>
  <si>
    <t>Per Channel DR with 1 4us carrier</t>
  </si>
  <si>
    <t>Need to implement IRIG-106 SOQPSK-TG Pulse Shaping Filter</t>
  </si>
  <si>
    <t xml:space="preserve">Need to implement IRIG-106 SOQPSK-TG Pulse Shaping Filter </t>
  </si>
  <si>
    <t>QPSK (uncoded)</t>
  </si>
  <si>
    <t>16 QAM (uncoded)</t>
  </si>
  <si>
    <t>Uncoded</t>
  </si>
  <si>
    <t>2/3 Coded</t>
  </si>
  <si>
    <t>Occupied BW @ SOQPSK (unfiltered)</t>
  </si>
  <si>
    <t>Margin for ant gain variance/ multipath</t>
  </si>
  <si>
    <t>Margin for gain variance/multipath</t>
  </si>
  <si>
    <t>omni</t>
  </si>
  <si>
    <t>System interference loss</t>
  </si>
  <si>
    <t xml:space="preserve">   TA LNA noise figure</t>
  </si>
  <si>
    <t xml:space="preserve">   TA ant system temp</t>
  </si>
  <si>
    <t>TA radome loss</t>
  </si>
  <si>
    <t>TA polarization loss</t>
  </si>
  <si>
    <t xml:space="preserve">   TA temp</t>
  </si>
  <si>
    <t xml:space="preserve">   TA ant diameter</t>
  </si>
  <si>
    <t xml:space="preserve">   TA ant efficency</t>
  </si>
  <si>
    <t>xx</t>
  </si>
  <si>
    <t>Symbol period with aggregate OH</t>
  </si>
  <si>
    <t>BW = # carriers / Tsym</t>
  </si>
  <si>
    <t xml:space="preserve">   TA ant gain</t>
  </si>
  <si>
    <t>2/3-rate SOQPSK</t>
  </si>
  <si>
    <t>2/3-rate 16QAM</t>
  </si>
  <si>
    <t>BW = 0.78 x coded CH bit rate per IRIG-106 Appendix A, Tab A-2</t>
  </si>
  <si>
    <r>
      <t>Data rate margin</t>
    </r>
    <r>
      <rPr>
        <sz val="8"/>
        <rFont val="Arial"/>
        <family val="2"/>
      </rPr>
      <t xml:space="preserve"> - for non-std symbol rate</t>
    </r>
  </si>
  <si>
    <t>Link layer framing header</t>
  </si>
  <si>
    <t>HDLC w/ header compr as reference, 1 byte flag+2 byte FCS/PDU+2/256</t>
  </si>
  <si>
    <t>Required SRRC Filter Attenuation</t>
  </si>
  <si>
    <t>SRRC Filter Factor (α)</t>
  </si>
  <si>
    <t>Per ACI/ACPR requirement</t>
  </si>
  <si>
    <t>Coded SOQPSK</t>
  </si>
  <si>
    <t>dBm/Hz</t>
  </si>
  <si>
    <t xml:space="preserve">   LNA gain</t>
  </si>
  <si>
    <t xml:space="preserve">   Ground temp</t>
  </si>
  <si>
    <t>Receiver noise figure</t>
  </si>
  <si>
    <t>Max allowed receiver NF</t>
  </si>
  <si>
    <t>Cable loss (LNA to receiver)</t>
  </si>
  <si>
    <t>Receiver implementation loss</t>
  </si>
  <si>
    <t xml:space="preserve">   Rx duplexer (+ cable) loss</t>
  </si>
  <si>
    <t xml:space="preserve">   TA Rx duplexer (+cable) loss</t>
  </si>
  <si>
    <t xml:space="preserve">   TA LNA gain</t>
  </si>
  <si>
    <t xml:space="preserve">   TA ant fin temp</t>
  </si>
  <si>
    <t xml:space="preserve">   TA cable loss</t>
  </si>
  <si>
    <t>GS antenna system G/T</t>
  </si>
  <si>
    <t xml:space="preserve">   GS ant diameter</t>
  </si>
  <si>
    <t xml:space="preserve">   GS ant efficiency</t>
  </si>
  <si>
    <t xml:space="preserve">   GS antenna gain</t>
  </si>
  <si>
    <t xml:space="preserve">   GS ant dish temp</t>
  </si>
  <si>
    <t xml:space="preserve">   GS ant dish/waveguide loss</t>
  </si>
  <si>
    <t xml:space="preserve">   GS ant system temp</t>
  </si>
  <si>
    <t xml:space="preserve">dBm </t>
  </si>
  <si>
    <t>Small dish - block 2</t>
  </si>
  <si>
    <t>Small dish - block 1</t>
  </si>
  <si>
    <t>TA HPA avg output power</t>
  </si>
  <si>
    <t>GS HPA avg output power</t>
  </si>
  <si>
    <t>EVM &amp; receiver implementation loss</t>
  </si>
  <si>
    <t>Tx duplexer loss</t>
  </si>
  <si>
    <t>TA antenna gain &amp; gain pattern</t>
  </si>
  <si>
    <t>GS antenna gain &amp; gain pattern</t>
  </si>
  <si>
    <t>System thermal noise</t>
  </si>
  <si>
    <t>Received input at LNA</t>
  </si>
  <si>
    <t>TA antenna system G/T</t>
  </si>
  <si>
    <t>Input arriving GS antenna</t>
  </si>
  <si>
    <t>Input arriving TA antenna</t>
  </si>
  <si>
    <t>Tx duplexer (+ cable) loss</t>
  </si>
  <si>
    <t>Calculated receive system sensitivity</t>
  </si>
  <si>
    <t>Downlink and Uplink Use Same CH</t>
  </si>
  <si>
    <t>GS-&gt;TA pointing loss</t>
  </si>
  <si>
    <t>Calculated sensitivity at receiver box</t>
  </si>
  <si>
    <t>GS pointing loss</t>
  </si>
  <si>
    <t>GS radome loss</t>
  </si>
  <si>
    <t>GS polarization mismatch</t>
  </si>
  <si>
    <t>System NF</t>
  </si>
  <si>
    <t>Receiver box noise figure</t>
  </si>
  <si>
    <t>Receiver box NF</t>
  </si>
  <si>
    <t>Packet error rate</t>
  </si>
  <si>
    <t>Packet size</t>
  </si>
  <si>
    <t>Frame error rate</t>
  </si>
  <si>
    <t>BER</t>
  </si>
  <si>
    <t># / err packet</t>
  </si>
  <si>
    <t>bits / packet</t>
  </si>
  <si>
    <t># / err frame</t>
  </si>
  <si>
    <t># / err bit</t>
  </si>
  <si>
    <t>bits / codeblock</t>
  </si>
  <si>
    <t>Frame size</t>
  </si>
  <si>
    <t>Codeblock size (info)</t>
  </si>
  <si>
    <t>codeblocks</t>
  </si>
  <si>
    <t>Symbol Es/No</t>
  </si>
  <si>
    <t>BWrcvr_ch = BWrcvr_noise</t>
  </si>
  <si>
    <t>Uncoded Eb/No</t>
  </si>
  <si>
    <t>Coded Eb/No</t>
  </si>
  <si>
    <t>Signal quality, BER</t>
  </si>
  <si>
    <t>Channel uncoded bit rate</t>
  </si>
  <si>
    <t>Receive system input</t>
  </si>
  <si>
    <t>Coded symbol Es/No</t>
  </si>
  <si>
    <t>~ 93% for small ant, coded SOQPSK, 10W, 100nm</t>
  </si>
  <si>
    <t>Overhead efficiency</t>
  </si>
  <si>
    <t>Tsym QAM</t>
  </si>
  <si>
    <t>802.11 scaled to meet rate at 16-QAM, 4/52 pilots</t>
  </si>
  <si>
    <t>802.11 scaled to meet rate at QPSK, 4/52 pilots</t>
  </si>
  <si>
    <t>Tsym QPSK</t>
  </si>
  <si>
    <t>Codeblock Size (data bits)</t>
  </si>
  <si>
    <t>Occupied BW @ QAM (unfiltered)</t>
  </si>
  <si>
    <t>Occupied BW @ QPSK (unfiltered)</t>
  </si>
  <si>
    <t>Coded QAM</t>
  </si>
  <si>
    <t>Coded QPSK</t>
  </si>
  <si>
    <t>Aggregate overhead efficiency</t>
  </si>
  <si>
    <t>bps - max aggregate allowed to meet BWocc</t>
  </si>
  <si>
    <t>bps - 4 users, each 2 Mbps down, 0.2 Mbps up</t>
  </si>
  <si>
    <t>16 users, 1x 20 Mbps down, 16x 0.2 Mbps up</t>
  </si>
  <si>
    <t>Link layer encryption</t>
  </si>
  <si>
    <t>Security handshake</t>
  </si>
  <si>
    <t>416 bits link layer encryption OH per codeblock</t>
  </si>
  <si>
    <t>4-way handshake once per 864k epochs (24 hrs), tot of 4x8 codeblocks</t>
  </si>
  <si>
    <t>Parameters for Channel Overhead and Bandwidth Estimates</t>
  </si>
  <si>
    <t xml:space="preserve">Parameters  </t>
  </si>
  <si>
    <t>SOQPSK-TG</t>
  </si>
  <si>
    <t>OFDM</t>
  </si>
  <si>
    <t>QPSK</t>
  </si>
  <si>
    <t>16-QAM</t>
  </si>
  <si>
    <r>
      <t>r</t>
    </r>
    <r>
      <rPr>
        <vertAlign val="subscript"/>
        <sz val="12"/>
        <rFont val="Arial"/>
        <family val="2"/>
      </rPr>
      <t>code rate</t>
    </r>
  </si>
  <si>
    <r>
      <t>N</t>
    </r>
    <r>
      <rPr>
        <vertAlign val="subscript"/>
        <sz val="12"/>
        <rFont val="Arial"/>
        <family val="2"/>
      </rPr>
      <t>TAs</t>
    </r>
  </si>
  <si>
    <r>
      <t>N</t>
    </r>
    <r>
      <rPr>
        <vertAlign val="subscript"/>
        <sz val="12"/>
        <rFont val="Arial"/>
        <family val="2"/>
      </rPr>
      <t>total sub-carriers</t>
    </r>
  </si>
  <si>
    <r>
      <t>N</t>
    </r>
    <r>
      <rPr>
        <vertAlign val="subscript"/>
        <sz val="12"/>
        <rFont val="Arial"/>
        <family val="2"/>
      </rPr>
      <t>data sub-carriers</t>
    </r>
  </si>
  <si>
    <r>
      <t>N</t>
    </r>
    <r>
      <rPr>
        <vertAlign val="subscript"/>
        <sz val="12"/>
        <rFont val="Arial"/>
        <family val="2"/>
      </rPr>
      <t>coded bits/data sub-carrier</t>
    </r>
  </si>
  <si>
    <t>8.8 Mbps</t>
  </si>
  <si>
    <r>
      <t>D</t>
    </r>
    <r>
      <rPr>
        <vertAlign val="subscript"/>
        <sz val="12"/>
        <rFont val="Arial"/>
        <family val="2"/>
      </rPr>
      <t>codeblock bits</t>
    </r>
  </si>
  <si>
    <t>4096 bits (uncoded)</t>
  </si>
  <si>
    <r>
      <t>D</t>
    </r>
    <r>
      <rPr>
        <vertAlign val="subscript"/>
        <sz val="12"/>
        <rFont val="Arial"/>
        <family val="2"/>
      </rPr>
      <t>mean PDU length</t>
    </r>
  </si>
  <si>
    <t>8000 bits</t>
  </si>
  <si>
    <t>7 us</t>
  </si>
  <si>
    <r>
      <t>T</t>
    </r>
    <r>
      <rPr>
        <vertAlign val="subscript"/>
        <sz val="12"/>
        <rFont val="Arial"/>
        <family val="2"/>
      </rPr>
      <t>epoch</t>
    </r>
  </si>
  <si>
    <t>100 ms</t>
  </si>
  <si>
    <r>
      <t>%</t>
    </r>
    <r>
      <rPr>
        <vertAlign val="subscript"/>
        <sz val="12"/>
        <rFont val="Arial"/>
        <family val="2"/>
      </rPr>
      <t>multipath fade</t>
    </r>
  </si>
  <si>
    <r>
      <t>%</t>
    </r>
    <r>
      <rPr>
        <vertAlign val="subscript"/>
        <sz val="12"/>
        <rFont val="Arial"/>
        <family val="2"/>
      </rPr>
      <t>PHY avail by range interference</t>
    </r>
  </si>
  <si>
    <r>
      <t>OH</t>
    </r>
    <r>
      <rPr>
        <vertAlign val="subscript"/>
        <sz val="12"/>
        <rFont val="Arial"/>
        <family val="2"/>
      </rPr>
      <t>synch</t>
    </r>
  </si>
  <si>
    <t>64 bits</t>
  </si>
  <si>
    <r>
      <t>OH</t>
    </r>
    <r>
      <rPr>
        <vertAlign val="subscript"/>
        <sz val="12"/>
        <rFont val="Arial"/>
        <family val="2"/>
      </rPr>
      <t>preamble</t>
    </r>
  </si>
  <si>
    <t>128 bits</t>
  </si>
  <si>
    <r>
      <t>OH</t>
    </r>
    <r>
      <rPr>
        <vertAlign val="subscript"/>
        <sz val="12"/>
        <rFont val="Arial"/>
        <family val="2"/>
      </rPr>
      <t>data pattern dep</t>
    </r>
  </si>
  <si>
    <t>2 bytes</t>
  </si>
  <si>
    <r>
      <t>OH</t>
    </r>
    <r>
      <rPr>
        <vertAlign val="subscript"/>
        <sz val="12"/>
        <rFont val="Arial"/>
        <family val="2"/>
      </rPr>
      <t>flag</t>
    </r>
  </si>
  <si>
    <t>1 byte</t>
  </si>
  <si>
    <r>
      <t>OH</t>
    </r>
    <r>
      <rPr>
        <vertAlign val="subscript"/>
        <sz val="12"/>
        <rFont val="Arial"/>
        <family val="2"/>
      </rPr>
      <t>FCS</t>
    </r>
  </si>
  <si>
    <r>
      <t>OH</t>
    </r>
    <r>
      <rPr>
        <vertAlign val="subscript"/>
        <sz val="12"/>
        <rFont val="Arial"/>
        <family val="2"/>
      </rPr>
      <t>security</t>
    </r>
  </si>
  <si>
    <t>52 bytes</t>
  </si>
  <si>
    <r>
      <t>K</t>
    </r>
    <r>
      <rPr>
        <vertAlign val="subscript"/>
        <sz val="12"/>
        <rFont val="Arial"/>
        <family val="2"/>
      </rPr>
      <t># epochs per security handshake</t>
    </r>
  </si>
  <si>
    <r>
      <t>H</t>
    </r>
    <r>
      <rPr>
        <vertAlign val="subscript"/>
        <sz val="12"/>
        <rFont val="Arial"/>
        <family val="2"/>
      </rPr>
      <t>handshake TA</t>
    </r>
  </si>
  <si>
    <r>
      <t>H</t>
    </r>
    <r>
      <rPr>
        <vertAlign val="subscript"/>
        <sz val="12"/>
        <rFont val="Arial"/>
        <family val="2"/>
      </rPr>
      <t>handshake GS</t>
    </r>
  </si>
  <si>
    <t>370 us (60 nmi)</t>
  </si>
  <si>
    <t>~ 76% for small ant, coded QPSK, 2.7W, 100nm</t>
  </si>
  <si>
    <t>~ 76% for small ant, coded 16QAM, 5W, 60nm</t>
  </si>
  <si>
    <t>Codeblock error rate (1 codeblock)</t>
  </si>
  <si>
    <t>Codeblock error rate (8 codeblocks)</t>
  </si>
  <si>
    <r>
      <t>M</t>
    </r>
    <r>
      <rPr>
        <vertAlign val="subscript"/>
        <sz val="12"/>
        <rFont val="Arial"/>
        <family val="2"/>
      </rPr>
      <t>downlink from TA</t>
    </r>
  </si>
  <si>
    <t>100 bytes per epoch</t>
  </si>
  <si>
    <r>
      <t>M</t>
    </r>
    <r>
      <rPr>
        <vertAlign val="subscript"/>
        <sz val="12"/>
        <rFont val="Arial"/>
        <family val="2"/>
      </rPr>
      <t>uplink from GS</t>
    </r>
  </si>
  <si>
    <t>Comm link control messaging</t>
  </si>
  <si>
    <t>4 TA @ 1x 100 bytes message up, 1x 100 bytes message down</t>
  </si>
  <si>
    <t>Number of codeblocks per codeblock frame</t>
  </si>
  <si>
    <t>from 1 (min) up to 8 (max)</t>
  </si>
  <si>
    <t xml:space="preserve">64 bit ASM + 128 bit preamble per min. codeblock </t>
  </si>
  <si>
    <t>64 bit ASM + 128 bit preamble per min. codeblock</t>
  </si>
  <si>
    <t>64 bit ASM + 24 bit preamble per min. codeblock</t>
  </si>
  <si>
    <t>64 bit ASM + 48 bit preamble per min. codeblock</t>
  </si>
  <si>
    <t>OFDM 16-QAM Time Dependent Parameters</t>
  </si>
  <si>
    <t>Mbps</t>
  </si>
  <si>
    <t>Data Bits per OFDM Symbol</t>
  </si>
  <si>
    <t>b/sym</t>
  </si>
  <si>
    <t>Symbol Rate</t>
  </si>
  <si>
    <t>Ms/s</t>
  </si>
  <si>
    <t>Total Symbol Time</t>
  </si>
  <si>
    <r>
      <t>μ</t>
    </r>
    <r>
      <rPr>
        <sz val="10"/>
        <rFont val="Arial"/>
        <family val="2"/>
      </rPr>
      <t>s</t>
    </r>
  </si>
  <si>
    <t>Data Symbol Time</t>
  </si>
  <si>
    <t>Guard Interval (25%[TBR] Data Symbol Time)</t>
  </si>
  <si>
    <t>Occupied Bandwidth</t>
  </si>
  <si>
    <t>MHz</t>
  </si>
  <si>
    <t>OFDM QPSK Time Dependent Parameters</t>
  </si>
  <si>
    <t>to Meet 20 Mbps User Data Rate</t>
  </si>
  <si>
    <t>~ 77% for small ant, coded SOQPSK, 10W, 150nm</t>
  </si>
  <si>
    <t>Radio Air Information Data Rate (Prior to Coding)</t>
  </si>
  <si>
    <r>
      <t>R</t>
    </r>
    <r>
      <rPr>
        <vertAlign val="subscript"/>
        <sz val="12"/>
        <rFont val="Arial"/>
        <family val="2"/>
      </rPr>
      <t>radio air user data rate</t>
    </r>
  </si>
  <si>
    <t>Radio air channel coded bit rate</t>
  </si>
  <si>
    <t>Radio air channel coded bit rate - 16QAM</t>
  </si>
  <si>
    <t>Radio air channel coded bit rate - QPSK</t>
  </si>
  <si>
    <t>Radio air channel coded bit rate - SOQPSK</t>
  </si>
  <si>
    <t>Required per radio air CH user data rate</t>
  </si>
  <si>
    <t>Required per radio air CH information bit rate</t>
  </si>
  <si>
    <t>Radio air channel info bit rate</t>
  </si>
  <si>
    <t>Usable radio air channel bit rate</t>
  </si>
  <si>
    <t>Radio air user data rate @ MAC</t>
  </si>
  <si>
    <t>Overhead - Radio air Channel Rate for Threshold</t>
  </si>
  <si>
    <t>Overhead - Radio Air Channel Rate for Threshold</t>
  </si>
  <si>
    <t>radio air user data rate @ MAC</t>
  </si>
  <si>
    <t>Overhead - Radio Air Channel Rate for Objective</t>
  </si>
  <si>
    <t>Radio air coded CH info data rate</t>
  </si>
  <si>
    <t>Radio air coded CH symbol rate - SOQPSK</t>
  </si>
  <si>
    <t>Radio air coded CH symbol rate - QAM</t>
  </si>
  <si>
    <t>Radio air coded CH symbol rate - QPSK</t>
  </si>
  <si>
    <t>12 symbols</t>
  </si>
  <si>
    <t>8.5 Mbps</t>
  </si>
  <si>
    <t>17.2 Mbps</t>
  </si>
  <si>
    <r>
      <t>T</t>
    </r>
    <r>
      <rPr>
        <vertAlign val="subscript"/>
        <sz val="11"/>
        <rFont val="Arial"/>
        <family val="2"/>
      </rPr>
      <t>d_GS_MAX</t>
    </r>
  </si>
  <si>
    <r>
      <t>T</t>
    </r>
    <r>
      <rPr>
        <vertAlign val="subscript"/>
        <sz val="11"/>
        <rFont val="Arial"/>
        <family val="2"/>
      </rPr>
      <t>GMIN</t>
    </r>
  </si>
  <si>
    <r>
      <t>N</t>
    </r>
    <r>
      <rPr>
        <vertAlign val="subscript"/>
        <sz val="12"/>
        <rFont val="Arial"/>
        <family val="2"/>
      </rPr>
      <t>TA</t>
    </r>
  </si>
  <si>
    <r>
      <t>T</t>
    </r>
    <r>
      <rPr>
        <vertAlign val="subscript"/>
        <sz val="12"/>
        <rFont val="Arial"/>
        <family val="2"/>
      </rPr>
      <t>d_GS_MAX</t>
    </r>
    <r>
      <rPr>
        <sz val="10"/>
        <rFont val="Arial"/>
        <family val="2"/>
      </rPr>
      <t xml:space="preserve"> = range distance / light speed</t>
    </r>
  </si>
  <si>
    <r>
      <t>2x T</t>
    </r>
    <r>
      <rPr>
        <vertAlign val="subscript"/>
        <sz val="12"/>
        <rFont val="Arial"/>
        <family val="2"/>
      </rPr>
      <t>d_GS_MAX</t>
    </r>
    <r>
      <rPr>
        <sz val="10"/>
        <rFont val="Arial"/>
        <family val="2"/>
      </rPr>
      <t xml:space="preserve"> + N</t>
    </r>
    <r>
      <rPr>
        <vertAlign val="subscript"/>
        <sz val="12"/>
        <rFont val="Arial"/>
        <family val="2"/>
      </rPr>
      <t>TA</t>
    </r>
    <r>
      <rPr>
        <sz val="10"/>
        <rFont val="Arial"/>
        <family val="2"/>
      </rPr>
      <t xml:space="preserve"> x T</t>
    </r>
    <r>
      <rPr>
        <vertAlign val="subscript"/>
        <sz val="12"/>
        <rFont val="Arial"/>
        <family val="2"/>
      </rPr>
      <t>GMIN</t>
    </r>
    <r>
      <rPr>
        <sz val="10"/>
        <rFont val="Arial"/>
        <family val="2"/>
      </rPr>
      <t>, where T</t>
    </r>
    <r>
      <rPr>
        <vertAlign val="subscript"/>
        <sz val="12"/>
        <rFont val="Arial"/>
        <family val="2"/>
      </rPr>
      <t>GMIN</t>
    </r>
    <r>
      <rPr>
        <sz val="10"/>
        <rFont val="Arial"/>
        <family val="2"/>
      </rPr>
      <t xml:space="preserve"> = 7us</t>
    </r>
  </si>
  <si>
    <t xml:space="preserve">from 1 (min) up to 8 (max) </t>
  </si>
  <si>
    <t>ALL WORKSHEETS TO THE RIGHT ARE NOW CONSIDERED BACKUP FOR FUTURE WAVEFORM AND UPGRADES OF THE SYSTEM</t>
  </si>
  <si>
    <t>meters</t>
  </si>
  <si>
    <t>nmi</t>
  </si>
  <si>
    <t>light time</t>
  </si>
  <si>
    <t>926 us (150 nmi)</t>
  </si>
  <si>
    <t>Information Eb/N0</t>
  </si>
  <si>
    <t>extra header stuff</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</si>
</sst>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E+00"/>
    <numFmt numFmtId="165" formatCode="0.000"/>
    <numFmt numFmtId="166" formatCode="0.0"/>
    <numFmt numFmtId="167" formatCode="0.0000"/>
    <numFmt numFmtId="168" formatCode="0.000000000"/>
    <numFmt numFmtId="169" formatCode="0.00000000"/>
    <numFmt numFmtId="170" formatCode="0.0%"/>
    <numFmt numFmtId="171" formatCode="0.0000%"/>
  </numFmts>
  <fonts count="21" x14ac:knownFonts="1">
    <font>
      <sz val="10"/>
      <name val="Arial"/>
      <family val="2"/>
    </font>
    <font>
      <sz val="10"/>
      <name val="Arial"/>
      <family val="2"/>
    </font>
    <font>
      <sz val="8"/>
      <name val="Arial"/>
      <family val="2"/>
    </font>
    <font>
      <b/>
      <sz val="10"/>
      <name val="Arial"/>
      <family val="2"/>
    </font>
    <font>
      <i/>
      <sz val="10"/>
      <name val="Arial"/>
      <family val="2"/>
    </font>
    <font>
      <b/>
      <i/>
      <sz val="10"/>
      <name val="Arial"/>
      <family val="2"/>
    </font>
    <font>
      <b/>
      <sz val="8"/>
      <color indexed="81"/>
      <name val="Tahoma"/>
      <family val="2"/>
    </font>
    <font>
      <sz val="10"/>
      <color indexed="10"/>
      <name val="Arial"/>
      <family val="2"/>
    </font>
    <font>
      <sz val="8"/>
      <color indexed="81"/>
      <name val="Tahoma"/>
      <family val="2"/>
    </font>
    <font>
      <sz val="10"/>
      <color indexed="12"/>
      <name val="Arial"/>
      <family val="2"/>
    </font>
    <font>
      <sz val="10"/>
      <color indexed="8"/>
      <name val="Arial"/>
      <family val="2"/>
    </font>
    <font>
      <b/>
      <sz val="10"/>
      <color indexed="8"/>
      <name val="Arial"/>
      <family val="2"/>
    </font>
    <font>
      <sz val="10"/>
      <name val="Arial"/>
    </font>
    <font>
      <b/>
      <sz val="10"/>
      <color indexed="9"/>
      <name val="Arial"/>
      <family val="2"/>
    </font>
    <font>
      <b/>
      <sz val="10"/>
      <color indexed="12"/>
      <name val="Arial"/>
      <family val="2"/>
    </font>
    <font>
      <sz val="10"/>
      <color indexed="9"/>
      <name val="Arial"/>
      <family val="2"/>
    </font>
    <font>
      <sz val="12"/>
      <name val="Arial"/>
      <family val="2"/>
    </font>
    <font>
      <vertAlign val="subscript"/>
      <sz val="12"/>
      <name val="Arial"/>
      <family val="2"/>
    </font>
    <font>
      <vertAlign val="subscript"/>
      <sz val="11"/>
      <name val="Arial"/>
      <family val="2"/>
    </font>
    <font>
      <u/>
      <sz val="10"/>
      <color theme="10"/>
      <name val="Arial"/>
      <family val="2"/>
    </font>
    <font>
      <u/>
      <sz val="10"/>
      <color theme="11"/>
      <name val="Arial"/>
      <family val="2"/>
    </font>
  </fonts>
  <fills count="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65"/>
        <bgColor indexed="64"/>
      </patternFill>
    </fill>
    <fill>
      <patternFill patternType="solid">
        <fgColor indexed="9"/>
        <bgColor indexed="64"/>
      </patternFill>
    </fill>
    <fill>
      <patternFill patternType="solid">
        <fgColor indexed="8"/>
        <bgColor indexed="64"/>
      </patternFill>
    </fill>
  </fills>
  <borders count="60">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diagonal/>
    </border>
    <border>
      <left/>
      <right/>
      <top/>
      <bottom style="medium">
        <color auto="1"/>
      </bottom>
      <diagonal/>
    </border>
    <border>
      <left style="thin">
        <color auto="1"/>
      </left>
      <right style="medium">
        <color auto="1"/>
      </right>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indexed="12"/>
      </left>
      <right style="thin">
        <color auto="1"/>
      </right>
      <top style="medium">
        <color indexed="12"/>
      </top>
      <bottom style="thin">
        <color auto="1"/>
      </bottom>
      <diagonal/>
    </border>
    <border>
      <left style="thin">
        <color auto="1"/>
      </left>
      <right style="thin">
        <color auto="1"/>
      </right>
      <top style="medium">
        <color indexed="12"/>
      </top>
      <bottom style="thin">
        <color auto="1"/>
      </bottom>
      <diagonal/>
    </border>
    <border>
      <left style="thin">
        <color auto="1"/>
      </left>
      <right style="medium">
        <color indexed="12"/>
      </right>
      <top style="medium">
        <color indexed="12"/>
      </top>
      <bottom style="thin">
        <color auto="1"/>
      </bottom>
      <diagonal/>
    </border>
    <border>
      <left style="medium">
        <color indexed="12"/>
      </left>
      <right style="thin">
        <color auto="1"/>
      </right>
      <top style="thin">
        <color auto="1"/>
      </top>
      <bottom style="thin">
        <color auto="1"/>
      </bottom>
      <diagonal/>
    </border>
    <border>
      <left style="thin">
        <color auto="1"/>
      </left>
      <right style="medium">
        <color indexed="12"/>
      </right>
      <top style="thin">
        <color auto="1"/>
      </top>
      <bottom style="thin">
        <color auto="1"/>
      </bottom>
      <diagonal/>
    </border>
    <border>
      <left style="medium">
        <color indexed="12"/>
      </left>
      <right style="thin">
        <color auto="1"/>
      </right>
      <top style="thin">
        <color auto="1"/>
      </top>
      <bottom style="medium">
        <color indexed="12"/>
      </bottom>
      <diagonal/>
    </border>
    <border>
      <left style="thin">
        <color auto="1"/>
      </left>
      <right style="thin">
        <color auto="1"/>
      </right>
      <top style="thin">
        <color auto="1"/>
      </top>
      <bottom style="medium">
        <color indexed="12"/>
      </bottom>
      <diagonal/>
    </border>
    <border>
      <left style="thin">
        <color auto="1"/>
      </left>
      <right style="medium">
        <color indexed="12"/>
      </right>
      <top style="thin">
        <color auto="1"/>
      </top>
      <bottom style="medium">
        <color indexed="12"/>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indexed="12"/>
      </right>
      <top style="thin">
        <color auto="1"/>
      </top>
      <bottom style="thin">
        <color auto="1"/>
      </bottom>
      <diagonal/>
    </border>
    <border>
      <left style="medium">
        <color indexed="12"/>
      </left>
      <right/>
      <top/>
      <bottom/>
      <diagonal/>
    </border>
    <border>
      <left/>
      <right style="medium">
        <color indexed="12"/>
      </right>
      <top/>
      <bottom/>
      <diagonal/>
    </border>
    <border>
      <left/>
      <right style="thin">
        <color indexed="22"/>
      </right>
      <top style="thin">
        <color indexed="22"/>
      </top>
      <bottom style="thin">
        <color indexed="22"/>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thin">
        <color auto="1"/>
      </top>
      <bottom/>
      <diagonal/>
    </border>
    <border>
      <left style="medium">
        <color auto="1"/>
      </left>
      <right style="medium">
        <color auto="1"/>
      </right>
      <top/>
      <bottom style="medium">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right style="thin">
        <color auto="1"/>
      </right>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s>
  <cellStyleXfs count="4">
    <xf numFmtId="0" fontId="0" fillId="0" borderId="0"/>
    <xf numFmtId="9" fontId="1" fillId="0" borderId="0" applyFon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463">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11" fontId="0" fillId="0" borderId="0" xfId="0" applyNumberFormat="1"/>
    <xf numFmtId="0" fontId="0" fillId="0" borderId="3" xfId="0" applyFill="1" applyBorder="1"/>
    <xf numFmtId="0" fontId="0" fillId="0" borderId="4" xfId="0" applyFill="1" applyBorder="1"/>
    <xf numFmtId="0" fontId="0" fillId="0" borderId="5" xfId="0" applyFill="1" applyBorder="1"/>
    <xf numFmtId="0" fontId="0" fillId="0" borderId="6" xfId="0" applyFill="1" applyBorder="1"/>
    <xf numFmtId="0" fontId="0" fillId="0" borderId="2" xfId="0" applyFill="1" applyBorder="1"/>
    <xf numFmtId="1" fontId="4" fillId="0" borderId="2" xfId="0" applyNumberFormat="1" applyFont="1" applyFill="1" applyBorder="1" applyAlignment="1">
      <alignment horizontal="center"/>
    </xf>
    <xf numFmtId="0" fontId="0" fillId="0" borderId="7" xfId="0" applyFill="1" applyBorder="1"/>
    <xf numFmtId="1" fontId="0" fillId="0" borderId="2" xfId="0" applyNumberFormat="1" applyFill="1" applyBorder="1" applyAlignment="1">
      <alignment horizontal="center"/>
    </xf>
    <xf numFmtId="0" fontId="0" fillId="0" borderId="8" xfId="0" applyFill="1" applyBorder="1"/>
    <xf numFmtId="0" fontId="0" fillId="0" borderId="9" xfId="0" applyFill="1" applyBorder="1"/>
    <xf numFmtId="0" fontId="0" fillId="0" borderId="0" xfId="0" applyFill="1" applyBorder="1"/>
    <xf numFmtId="0" fontId="0" fillId="0" borderId="0" xfId="0" applyBorder="1"/>
    <xf numFmtId="0" fontId="0" fillId="0" borderId="2" xfId="0" quotePrefix="1" applyFill="1" applyBorder="1"/>
    <xf numFmtId="0" fontId="0" fillId="0" borderId="2" xfId="0" applyBorder="1" applyAlignment="1">
      <alignment horizontal="center"/>
    </xf>
    <xf numFmtId="10" fontId="0" fillId="0" borderId="2" xfId="0" applyNumberFormat="1" applyFill="1" applyBorder="1"/>
    <xf numFmtId="2" fontId="0" fillId="0" borderId="2" xfId="0" applyNumberFormat="1" applyFill="1" applyBorder="1"/>
    <xf numFmtId="0" fontId="0" fillId="0" borderId="4" xfId="0" applyBorder="1" applyAlignment="1">
      <alignment horizontal="center"/>
    </xf>
    <xf numFmtId="0" fontId="0" fillId="0" borderId="8" xfId="0" applyBorder="1" applyAlignment="1">
      <alignment horizontal="center"/>
    </xf>
    <xf numFmtId="0" fontId="0" fillId="0" borderId="5" xfId="0" applyFill="1" applyBorder="1" applyAlignment="1">
      <alignment horizontal="center"/>
    </xf>
    <xf numFmtId="11" fontId="0" fillId="0" borderId="7" xfId="0" applyNumberFormat="1" applyBorder="1" applyAlignment="1">
      <alignment horizontal="center"/>
    </xf>
    <xf numFmtId="11" fontId="0" fillId="0" borderId="9" xfId="0" applyNumberFormat="1" applyBorder="1" applyAlignment="1">
      <alignment horizontal="center"/>
    </xf>
    <xf numFmtId="2" fontId="0" fillId="0" borderId="0" xfId="0" applyNumberFormat="1"/>
    <xf numFmtId="164" fontId="0" fillId="0" borderId="2" xfId="0" applyNumberFormat="1" applyFill="1" applyBorder="1" applyAlignment="1">
      <alignment horizontal="center"/>
    </xf>
    <xf numFmtId="9" fontId="5" fillId="0" borderId="10" xfId="0" applyNumberFormat="1" applyFont="1" applyBorder="1"/>
    <xf numFmtId="0" fontId="4" fillId="0" borderId="11" xfId="0" applyFont="1" applyFill="1" applyBorder="1"/>
    <xf numFmtId="0" fontId="4" fillId="0" borderId="0" xfId="0" applyFont="1"/>
    <xf numFmtId="1" fontId="5" fillId="0" borderId="12" xfId="0" applyNumberFormat="1" applyFont="1" applyFill="1" applyBorder="1" applyAlignment="1">
      <alignment horizontal="center"/>
    </xf>
    <xf numFmtId="1" fontId="0" fillId="0" borderId="2" xfId="0" applyNumberFormat="1" applyFill="1" applyBorder="1"/>
    <xf numFmtId="0" fontId="0" fillId="0" borderId="13" xfId="0" applyFill="1" applyBorder="1"/>
    <xf numFmtId="2" fontId="0" fillId="0" borderId="2" xfId="0" applyNumberFormat="1" applyBorder="1" applyAlignment="1">
      <alignment horizontal="center"/>
    </xf>
    <xf numFmtId="2" fontId="0" fillId="0" borderId="8" xfId="0" applyNumberFormat="1" applyBorder="1" applyAlignment="1">
      <alignment horizontal="center"/>
    </xf>
    <xf numFmtId="0" fontId="0" fillId="0" borderId="14" xfId="0" applyFill="1" applyBorder="1"/>
    <xf numFmtId="1" fontId="0" fillId="0" borderId="14" xfId="0" applyNumberFormat="1" applyFill="1" applyBorder="1" applyAlignment="1">
      <alignment horizontal="center"/>
    </xf>
    <xf numFmtId="0" fontId="0" fillId="0" borderId="15" xfId="0" applyFill="1" applyBorder="1"/>
    <xf numFmtId="0" fontId="0" fillId="0" borderId="0" xfId="0" applyBorder="1" applyAlignment="1">
      <alignment horizontal="center"/>
    </xf>
    <xf numFmtId="166" fontId="0" fillId="0" borderId="2" xfId="0" applyNumberFormat="1" applyFill="1" applyBorder="1" applyAlignment="1">
      <alignment horizontal="center"/>
    </xf>
    <xf numFmtId="2" fontId="7" fillId="0" borderId="2" xfId="0" applyNumberFormat="1" applyFont="1" applyFill="1" applyBorder="1" applyAlignment="1">
      <alignment horizontal="center"/>
    </xf>
    <xf numFmtId="0" fontId="7" fillId="0" borderId="2" xfId="0" applyFont="1" applyFill="1" applyBorder="1"/>
    <xf numFmtId="166" fontId="3" fillId="0" borderId="8" xfId="0" applyNumberFormat="1" applyFont="1" applyFill="1" applyBorder="1" applyAlignment="1">
      <alignment horizontal="center"/>
    </xf>
    <xf numFmtId="166" fontId="0" fillId="0" borderId="0" xfId="0" applyNumberFormat="1"/>
    <xf numFmtId="166" fontId="0" fillId="0" borderId="0" xfId="0" applyNumberFormat="1" applyAlignment="1">
      <alignment horizontal="center"/>
    </xf>
    <xf numFmtId="166" fontId="7" fillId="0" borderId="2" xfId="0" applyNumberFormat="1" applyFont="1" applyFill="1" applyBorder="1"/>
    <xf numFmtId="9" fontId="1" fillId="0" borderId="0" xfId="1"/>
    <xf numFmtId="0" fontId="7" fillId="0" borderId="0" xfId="0" applyFont="1"/>
    <xf numFmtId="12" fontId="3" fillId="0" borderId="0" xfId="0" applyNumberFormat="1" applyFont="1"/>
    <xf numFmtId="0" fontId="3" fillId="0" borderId="0" xfId="0" applyFont="1"/>
    <xf numFmtId="0" fontId="0" fillId="0" borderId="16" xfId="0" applyFill="1" applyBorder="1"/>
    <xf numFmtId="0" fontId="0" fillId="0" borderId="0" xfId="0" applyAlignment="1">
      <alignment horizontal="center"/>
    </xf>
    <xf numFmtId="166" fontId="0" fillId="0" borderId="0" xfId="0" applyNumberFormat="1" applyAlignment="1">
      <alignment horizontal="right"/>
    </xf>
    <xf numFmtId="166" fontId="0" fillId="0" borderId="0" xfId="0" applyNumberFormat="1" applyFill="1" applyBorder="1"/>
    <xf numFmtId="0" fontId="0" fillId="0" borderId="0" xfId="0"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2" fontId="0" fillId="0" borderId="0" xfId="0" applyNumberFormat="1" applyAlignment="1">
      <alignment horizontal="center"/>
    </xf>
    <xf numFmtId="0" fontId="7" fillId="0" borderId="2" xfId="0" applyFont="1" applyBorder="1" applyAlignment="1">
      <alignment horizontal="center"/>
    </xf>
    <xf numFmtId="1" fontId="0" fillId="0" borderId="0" xfId="0" applyNumberFormat="1"/>
    <xf numFmtId="0" fontId="0" fillId="0" borderId="0" xfId="0" applyAlignment="1">
      <alignment vertical="center" wrapText="1"/>
    </xf>
    <xf numFmtId="1" fontId="1" fillId="0" borderId="2" xfId="0" applyNumberFormat="1" applyFont="1" applyFill="1" applyBorder="1" applyAlignment="1">
      <alignment horizontal="center"/>
    </xf>
    <xf numFmtId="0" fontId="1" fillId="0" borderId="0" xfId="0" applyFont="1"/>
    <xf numFmtId="11" fontId="0" fillId="0" borderId="0" xfId="0" applyNumberFormat="1" applyBorder="1" applyAlignment="1">
      <alignment horizontal="center"/>
    </xf>
    <xf numFmtId="0" fontId="7" fillId="0" borderId="8" xfId="0" applyFont="1" applyBorder="1" applyAlignment="1">
      <alignment horizontal="center"/>
    </xf>
    <xf numFmtId="2" fontId="10" fillId="0" borderId="8" xfId="0" applyNumberFormat="1" applyFont="1" applyBorder="1" applyAlignment="1">
      <alignment horizontal="center"/>
    </xf>
    <xf numFmtId="0" fontId="0" fillId="0" borderId="16" xfId="0" applyBorder="1" applyAlignment="1">
      <alignment horizontal="center"/>
    </xf>
    <xf numFmtId="0" fontId="0" fillId="0" borderId="14" xfId="0" applyBorder="1" applyAlignment="1">
      <alignment horizontal="center"/>
    </xf>
    <xf numFmtId="2" fontId="0" fillId="0" borderId="14" xfId="0" applyNumberFormat="1" applyBorder="1" applyAlignment="1">
      <alignment horizontal="center"/>
    </xf>
    <xf numFmtId="0" fontId="3" fillId="0" borderId="0" xfId="0" applyFont="1" applyFill="1" applyBorder="1" applyAlignment="1">
      <alignment horizontal="left"/>
    </xf>
    <xf numFmtId="1" fontId="5" fillId="0" borderId="0" xfId="0" applyNumberFormat="1" applyFont="1" applyFill="1" applyBorder="1" applyAlignment="1">
      <alignment horizontal="center"/>
    </xf>
    <xf numFmtId="0" fontId="0" fillId="0" borderId="6" xfId="0" applyFill="1" applyBorder="1" applyAlignment="1">
      <alignment horizontal="left"/>
    </xf>
    <xf numFmtId="0" fontId="0" fillId="0" borderId="3" xfId="0" applyBorder="1" applyAlignment="1">
      <alignment horizontal="left"/>
    </xf>
    <xf numFmtId="0" fontId="0" fillId="0" borderId="17" xfId="0" applyBorder="1" applyAlignment="1">
      <alignment horizontal="left"/>
    </xf>
    <xf numFmtId="0" fontId="0" fillId="0" borderId="6" xfId="0" applyBorder="1" applyAlignment="1">
      <alignment horizontal="left"/>
    </xf>
    <xf numFmtId="0" fontId="0" fillId="0" borderId="18" xfId="0" applyBorder="1" applyAlignment="1">
      <alignment horizontal="left"/>
    </xf>
    <xf numFmtId="0" fontId="0" fillId="0" borderId="19" xfId="0" applyBorder="1" applyAlignment="1">
      <alignment horizontal="left"/>
    </xf>
    <xf numFmtId="0" fontId="0" fillId="0" borderId="3" xfId="0" applyFill="1" applyBorder="1" applyAlignment="1">
      <alignment horizontal="left"/>
    </xf>
    <xf numFmtId="0" fontId="0" fillId="0" borderId="19" xfId="0" applyFill="1" applyBorder="1" applyAlignment="1">
      <alignment horizontal="left"/>
    </xf>
    <xf numFmtId="2" fontId="0" fillId="0" borderId="20" xfId="0" applyNumberFormat="1" applyBorder="1" applyAlignment="1">
      <alignment horizontal="center"/>
    </xf>
    <xf numFmtId="11" fontId="0" fillId="0" borderId="21" xfId="0" applyNumberFormat="1" applyBorder="1" applyAlignment="1">
      <alignment horizontal="center"/>
    </xf>
    <xf numFmtId="0" fontId="7" fillId="0" borderId="16" xfId="0" applyFont="1" applyBorder="1" applyAlignment="1">
      <alignment horizontal="center"/>
    </xf>
    <xf numFmtId="1" fontId="0" fillId="0" borderId="16" xfId="0" applyNumberFormat="1" applyFill="1" applyBorder="1" applyAlignment="1">
      <alignment horizontal="center"/>
    </xf>
    <xf numFmtId="0" fontId="0" fillId="0" borderId="22" xfId="0" applyFill="1" applyBorder="1"/>
    <xf numFmtId="0" fontId="0" fillId="0" borderId="17" xfId="0" applyFill="1" applyBorder="1"/>
    <xf numFmtId="0" fontId="0" fillId="0" borderId="23" xfId="0" applyBorder="1"/>
    <xf numFmtId="0" fontId="0" fillId="0" borderId="24" xfId="0" applyBorder="1"/>
    <xf numFmtId="0" fontId="0" fillId="0" borderId="24" xfId="0" applyBorder="1" applyAlignment="1">
      <alignment horizontal="center"/>
    </xf>
    <xf numFmtId="0" fontId="0" fillId="0" borderId="25" xfId="0" applyBorder="1"/>
    <xf numFmtId="0" fontId="0" fillId="0" borderId="2" xfId="0" applyFill="1" applyBorder="1" applyAlignment="1">
      <alignment horizontal="right"/>
    </xf>
    <xf numFmtId="9" fontId="1" fillId="0" borderId="2" xfId="1" applyFont="1" applyFill="1" applyBorder="1" applyAlignment="1">
      <alignment horizontal="right"/>
    </xf>
    <xf numFmtId="165" fontId="0" fillId="0" borderId="0" xfId="0" applyNumberFormat="1"/>
    <xf numFmtId="0" fontId="0" fillId="0" borderId="0" xfId="0" applyBorder="1" applyAlignment="1">
      <alignment horizontal="left"/>
    </xf>
    <xf numFmtId="2" fontId="0" fillId="0" borderId="0" xfId="0" applyNumberFormat="1" applyBorder="1" applyAlignment="1">
      <alignment horizontal="center"/>
    </xf>
    <xf numFmtId="2" fontId="0" fillId="0" borderId="0" xfId="0" applyNumberFormat="1" applyBorder="1" applyAlignment="1">
      <alignment horizontal="left"/>
    </xf>
    <xf numFmtId="12" fontId="0" fillId="0" borderId="0" xfId="0" applyNumberFormat="1" applyBorder="1" applyAlignment="1">
      <alignment horizontal="center"/>
    </xf>
    <xf numFmtId="167" fontId="0" fillId="0" borderId="0" xfId="0" applyNumberFormat="1"/>
    <xf numFmtId="0" fontId="0" fillId="0" borderId="2" xfId="0" applyBorder="1" applyAlignment="1">
      <alignment horizontal="center" vertical="center"/>
    </xf>
    <xf numFmtId="0" fontId="9" fillId="0" borderId="0" xfId="0" applyFont="1" applyAlignment="1">
      <alignment vertical="center"/>
    </xf>
    <xf numFmtId="12" fontId="9" fillId="0" borderId="0" xfId="0" applyNumberFormat="1" applyFont="1" applyAlignment="1">
      <alignment horizontal="center" vertical="center"/>
    </xf>
    <xf numFmtId="166" fontId="9" fillId="0" borderId="0" xfId="0" applyNumberFormat="1" applyFont="1" applyAlignment="1">
      <alignment horizontal="center" vertical="center"/>
    </xf>
    <xf numFmtId="10" fontId="11" fillId="0" borderId="2" xfId="0" applyNumberFormat="1" applyFont="1" applyBorder="1" applyAlignment="1">
      <alignment horizontal="center" vertical="center"/>
    </xf>
    <xf numFmtId="0" fontId="10" fillId="0" borderId="2" xfId="0" applyFont="1" applyBorder="1" applyAlignment="1">
      <alignment horizontal="center" vertical="center"/>
    </xf>
    <xf numFmtId="11" fontId="10" fillId="0" borderId="2" xfId="0" applyNumberFormat="1" applyFont="1" applyBorder="1" applyAlignment="1">
      <alignment horizontal="center" vertical="center"/>
    </xf>
    <xf numFmtId="11" fontId="0" fillId="0" borderId="0" xfId="0" applyNumberFormat="1" applyAlignment="1">
      <alignment vertical="center"/>
    </xf>
    <xf numFmtId="0" fontId="7" fillId="0" borderId="0" xfId="0" applyFont="1" applyAlignment="1">
      <alignment vertical="center"/>
    </xf>
    <xf numFmtId="11" fontId="0" fillId="0" borderId="2" xfId="0" applyNumberFormat="1" applyBorder="1" applyAlignment="1">
      <alignment horizontal="center" vertical="center"/>
    </xf>
    <xf numFmtId="2" fontId="0" fillId="0" borderId="0" xfId="0" applyNumberFormat="1" applyAlignment="1">
      <alignment vertical="center"/>
    </xf>
    <xf numFmtId="1" fontId="0" fillId="0" borderId="0" xfId="0" applyNumberFormat="1" applyAlignment="1">
      <alignment vertical="center"/>
    </xf>
    <xf numFmtId="10" fontId="7" fillId="0" borderId="2" xfId="0" applyNumberFormat="1" applyFont="1" applyBorder="1" applyAlignment="1">
      <alignment horizontal="center" vertical="center"/>
    </xf>
    <xf numFmtId="166" fontId="0" fillId="0" borderId="0" xfId="0" applyNumberFormat="1" applyAlignment="1">
      <alignment vertical="center"/>
    </xf>
    <xf numFmtId="0" fontId="0" fillId="0" borderId="17" xfId="0" applyBorder="1" applyAlignment="1">
      <alignment vertical="center"/>
    </xf>
    <xf numFmtId="10" fontId="0" fillId="0" borderId="16" xfId="0" applyNumberFormat="1" applyBorder="1" applyAlignment="1">
      <alignment horizontal="center" vertical="center"/>
    </xf>
    <xf numFmtId="0" fontId="0" fillId="0" borderId="22" xfId="0" applyBorder="1" applyAlignment="1">
      <alignment vertical="center" wrapText="1"/>
    </xf>
    <xf numFmtId="0" fontId="0" fillId="0" borderId="6" xfId="0" applyBorder="1" applyAlignment="1">
      <alignment vertical="center"/>
    </xf>
    <xf numFmtId="0" fontId="0" fillId="0" borderId="7" xfId="0" applyBorder="1" applyAlignment="1">
      <alignment vertical="center" wrapText="1"/>
    </xf>
    <xf numFmtId="0" fontId="0" fillId="0" borderId="19" xfId="0" applyFill="1" applyBorder="1" applyAlignment="1">
      <alignment vertical="center"/>
    </xf>
    <xf numFmtId="10" fontId="0" fillId="0" borderId="8" xfId="0" applyNumberFormat="1" applyBorder="1" applyAlignment="1">
      <alignment horizontal="center" vertical="center"/>
    </xf>
    <xf numFmtId="0" fontId="0" fillId="0" borderId="9" xfId="0" applyBorder="1" applyAlignment="1">
      <alignment vertical="center" wrapText="1"/>
    </xf>
    <xf numFmtId="0" fontId="0" fillId="0" borderId="9" xfId="0" applyBorder="1" applyAlignment="1">
      <alignment vertical="center"/>
    </xf>
    <xf numFmtId="2" fontId="0" fillId="0" borderId="0" xfId="0" applyNumberFormat="1" applyBorder="1" applyAlignment="1">
      <alignment horizontal="center" vertical="center"/>
    </xf>
    <xf numFmtId="11" fontId="0" fillId="0" borderId="0" xfId="0" applyNumberFormat="1" applyBorder="1" applyAlignment="1">
      <alignment vertical="center"/>
    </xf>
    <xf numFmtId="0" fontId="10" fillId="0" borderId="0" xfId="0" applyFont="1" applyAlignment="1">
      <alignment vertical="center"/>
    </xf>
    <xf numFmtId="12" fontId="10" fillId="0" borderId="0" xfId="0" applyNumberFormat="1" applyFont="1" applyAlignment="1">
      <alignment horizontal="center" vertical="center"/>
    </xf>
    <xf numFmtId="166" fontId="10" fillId="0" borderId="0" xfId="0" applyNumberFormat="1" applyFont="1" applyAlignment="1">
      <alignment horizontal="center" vertical="center"/>
    </xf>
    <xf numFmtId="166" fontId="0" fillId="0" borderId="0" xfId="0" applyNumberFormat="1" applyAlignment="1">
      <alignment horizontal="center" vertical="center"/>
    </xf>
    <xf numFmtId="10" fontId="10" fillId="0" borderId="2" xfId="0" applyNumberFormat="1" applyFont="1" applyBorder="1" applyAlignment="1">
      <alignment horizontal="center" vertical="center"/>
    </xf>
    <xf numFmtId="10" fontId="0" fillId="0" borderId="0" xfId="0" applyNumberFormat="1" applyAlignment="1">
      <alignment vertical="center"/>
    </xf>
    <xf numFmtId="0" fontId="0" fillId="0" borderId="0" xfId="0" applyBorder="1" applyAlignment="1">
      <alignment vertical="center"/>
    </xf>
    <xf numFmtId="0" fontId="0" fillId="0" borderId="26" xfId="0" applyBorder="1" applyAlignment="1">
      <alignment vertical="center"/>
    </xf>
    <xf numFmtId="0" fontId="7" fillId="0" borderId="27" xfId="0" applyFont="1" applyBorder="1" applyAlignment="1">
      <alignment horizontal="center" vertical="center"/>
    </xf>
    <xf numFmtId="0" fontId="0" fillId="0" borderId="28" xfId="0" applyBorder="1" applyAlignment="1">
      <alignment vertical="center"/>
    </xf>
    <xf numFmtId="0" fontId="3" fillId="0" borderId="29" xfId="0" applyFont="1" applyBorder="1" applyAlignment="1">
      <alignment vertical="center"/>
    </xf>
    <xf numFmtId="0" fontId="0" fillId="0" borderId="30" xfId="0" applyBorder="1" applyAlignment="1">
      <alignment vertical="center"/>
    </xf>
    <xf numFmtId="0" fontId="0" fillId="0" borderId="29" xfId="0" applyBorder="1" applyAlignment="1">
      <alignment vertical="center"/>
    </xf>
    <xf numFmtId="0" fontId="0" fillId="0" borderId="30" xfId="0" applyBorder="1" applyAlignment="1">
      <alignment vertical="center" wrapText="1"/>
    </xf>
    <xf numFmtId="0" fontId="3" fillId="0" borderId="31" xfId="0" applyFont="1" applyBorder="1" applyAlignment="1">
      <alignment vertical="center"/>
    </xf>
    <xf numFmtId="10" fontId="3" fillId="0" borderId="32" xfId="0" applyNumberFormat="1" applyFont="1" applyBorder="1" applyAlignment="1">
      <alignment horizontal="center" vertical="center"/>
    </xf>
    <xf numFmtId="0" fontId="0" fillId="0" borderId="33" xfId="0" applyBorder="1" applyAlignment="1">
      <alignment vertical="center" wrapText="1"/>
    </xf>
    <xf numFmtId="2" fontId="0" fillId="0" borderId="0" xfId="0" applyNumberFormat="1" applyAlignment="1">
      <alignment horizontal="center" vertical="center"/>
    </xf>
    <xf numFmtId="2" fontId="3" fillId="0" borderId="0" xfId="0" applyNumberFormat="1" applyFont="1" applyBorder="1" applyAlignment="1">
      <alignment vertical="center"/>
    </xf>
    <xf numFmtId="2" fontId="3" fillId="0" borderId="0" xfId="0" applyNumberFormat="1" applyFont="1" applyBorder="1" applyAlignment="1">
      <alignment horizontal="center" vertical="center"/>
    </xf>
    <xf numFmtId="1" fontId="0" fillId="0" borderId="0" xfId="0" applyNumberFormat="1" applyAlignment="1">
      <alignment horizontal="center" vertical="center"/>
    </xf>
    <xf numFmtId="11" fontId="0" fillId="0" borderId="0" xfId="0" applyNumberFormat="1" applyAlignment="1">
      <alignment horizontal="center" vertical="center"/>
    </xf>
    <xf numFmtId="2" fontId="7" fillId="0" borderId="0" xfId="0" applyNumberFormat="1" applyFont="1" applyAlignment="1">
      <alignment vertical="center"/>
    </xf>
    <xf numFmtId="2" fontId="0" fillId="2" borderId="2" xfId="0" applyNumberFormat="1" applyFill="1" applyBorder="1" applyAlignment="1">
      <alignment horizontal="center"/>
    </xf>
    <xf numFmtId="166" fontId="0" fillId="2" borderId="2" xfId="0" applyNumberFormat="1" applyFill="1" applyBorder="1" applyAlignment="1">
      <alignment horizontal="center"/>
    </xf>
    <xf numFmtId="1" fontId="0" fillId="2" borderId="2" xfId="0" applyNumberFormat="1" applyFill="1" applyBorder="1" applyAlignment="1">
      <alignment horizontal="center"/>
    </xf>
    <xf numFmtId="2" fontId="1" fillId="2" borderId="2" xfId="0" applyNumberFormat="1" applyFont="1" applyFill="1" applyBorder="1" applyAlignment="1">
      <alignment horizontal="center"/>
    </xf>
    <xf numFmtId="166" fontId="3" fillId="2" borderId="2" xfId="0" applyNumberFormat="1" applyFont="1" applyFill="1" applyBorder="1" applyAlignment="1">
      <alignment horizontal="center"/>
    </xf>
    <xf numFmtId="0" fontId="0" fillId="2" borderId="24" xfId="0" applyFill="1" applyBorder="1" applyAlignment="1">
      <alignment horizontal="center"/>
    </xf>
    <xf numFmtId="1" fontId="0" fillId="2" borderId="34" xfId="0" applyNumberFormat="1" applyFill="1" applyBorder="1" applyAlignment="1">
      <alignment horizontal="center"/>
    </xf>
    <xf numFmtId="1" fontId="4" fillId="2" borderId="35" xfId="0" applyNumberFormat="1" applyFont="1" applyFill="1" applyBorder="1" applyAlignment="1">
      <alignment horizontal="center"/>
    </xf>
    <xf numFmtId="1" fontId="1" fillId="2" borderId="35" xfId="0" applyNumberFormat="1" applyFont="1" applyFill="1" applyBorder="1" applyAlignment="1">
      <alignment horizontal="center"/>
    </xf>
    <xf numFmtId="1" fontId="0" fillId="2" borderId="35" xfId="0" applyNumberFormat="1" applyFill="1" applyBorder="1" applyAlignment="1">
      <alignment horizontal="center"/>
    </xf>
    <xf numFmtId="164" fontId="0" fillId="2" borderId="2" xfId="0" applyNumberFormat="1" applyFill="1" applyBorder="1" applyAlignment="1">
      <alignment horizontal="center"/>
    </xf>
    <xf numFmtId="2" fontId="7" fillId="2" borderId="35" xfId="0" applyNumberFormat="1" applyFont="1" applyFill="1" applyBorder="1" applyAlignment="1">
      <alignment horizontal="center"/>
    </xf>
    <xf numFmtId="166" fontId="0" fillId="2" borderId="35" xfId="0" applyNumberFormat="1" applyFill="1" applyBorder="1" applyAlignment="1">
      <alignment horizontal="center"/>
    </xf>
    <xf numFmtId="1" fontId="0" fillId="2" borderId="14" xfId="0" applyNumberFormat="1" applyFill="1" applyBorder="1" applyAlignment="1">
      <alignment horizontal="center"/>
    </xf>
    <xf numFmtId="166" fontId="3" fillId="2" borderId="8" xfId="0" applyNumberFormat="1" applyFont="1" applyFill="1" applyBorder="1" applyAlignment="1">
      <alignment horizontal="center"/>
    </xf>
    <xf numFmtId="1" fontId="4" fillId="2" borderId="2" xfId="0" applyNumberFormat="1" applyFont="1" applyFill="1" applyBorder="1" applyAlignment="1">
      <alignment horizontal="center"/>
    </xf>
    <xf numFmtId="1" fontId="1" fillId="2" borderId="2" xfId="0" applyNumberFormat="1" applyFont="1" applyFill="1" applyBorder="1" applyAlignment="1">
      <alignment horizontal="center"/>
    </xf>
    <xf numFmtId="0" fontId="10" fillId="0" borderId="6" xfId="0" applyFont="1" applyFill="1" applyBorder="1"/>
    <xf numFmtId="0" fontId="10" fillId="0" borderId="18" xfId="0" applyFont="1" applyFill="1" applyBorder="1"/>
    <xf numFmtId="0" fontId="10" fillId="0" borderId="19" xfId="0" applyFont="1" applyBorder="1"/>
    <xf numFmtId="1" fontId="7" fillId="2" borderId="35" xfId="0" applyNumberFormat="1" applyFont="1" applyFill="1" applyBorder="1" applyAlignment="1">
      <alignment horizontal="center"/>
    </xf>
    <xf numFmtId="1" fontId="7" fillId="2" borderId="2" xfId="0" applyNumberFormat="1" applyFont="1" applyFill="1" applyBorder="1" applyAlignment="1">
      <alignment horizontal="center"/>
    </xf>
    <xf numFmtId="1" fontId="0" fillId="2" borderId="4" xfId="0" applyNumberFormat="1" applyFill="1" applyBorder="1" applyAlignment="1">
      <alignment horizontal="center"/>
    </xf>
    <xf numFmtId="1" fontId="4" fillId="2" borderId="16" xfId="0" applyNumberFormat="1" applyFont="1" applyFill="1" applyBorder="1" applyAlignment="1">
      <alignment horizontal="center"/>
    </xf>
    <xf numFmtId="166" fontId="10" fillId="2" borderId="2" xfId="0" applyNumberFormat="1" applyFont="1" applyFill="1" applyBorder="1" applyAlignment="1">
      <alignment horizontal="center"/>
    </xf>
    <xf numFmtId="0" fontId="7" fillId="0" borderId="0" xfId="0" applyFont="1" applyAlignment="1">
      <alignment horizontal="left" vertical="center"/>
    </xf>
    <xf numFmtId="0" fontId="0" fillId="0" borderId="2" xfId="0" applyFill="1" applyBorder="1" applyAlignment="1">
      <alignment vertical="center" wrapText="1"/>
    </xf>
    <xf numFmtId="1" fontId="0" fillId="0" borderId="2" xfId="0" applyNumberForma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Border="1" applyAlignment="1">
      <alignment vertical="center" wrapText="1"/>
    </xf>
    <xf numFmtId="0" fontId="10" fillId="0" borderId="6" xfId="0" applyFont="1" applyFill="1" applyBorder="1" applyAlignment="1">
      <alignment vertical="center" wrapText="1"/>
    </xf>
    <xf numFmtId="1" fontId="7" fillId="2" borderId="35" xfId="0" applyNumberFormat="1" applyFont="1" applyFill="1" applyBorder="1" applyAlignment="1">
      <alignment horizontal="center" vertical="center" wrapText="1"/>
    </xf>
    <xf numFmtId="11" fontId="0" fillId="0" borderId="0" xfId="0" applyNumberFormat="1" applyAlignment="1">
      <alignment vertical="center" wrapText="1"/>
    </xf>
    <xf numFmtId="0" fontId="0" fillId="0" borderId="0" xfId="0" applyFill="1"/>
    <xf numFmtId="0" fontId="0" fillId="0" borderId="0" xfId="0" applyFill="1" applyBorder="1" applyAlignment="1">
      <alignment horizontal="center"/>
    </xf>
    <xf numFmtId="166" fontId="7" fillId="0" borderId="16" xfId="0" applyNumberFormat="1" applyFont="1" applyFill="1" applyBorder="1"/>
    <xf numFmtId="0" fontId="1" fillId="0" borderId="6" xfId="0" applyFont="1" applyFill="1" applyBorder="1"/>
    <xf numFmtId="166" fontId="1" fillId="2" borderId="2" xfId="0" applyNumberFormat="1" applyFont="1" applyFill="1" applyBorder="1" applyAlignment="1">
      <alignment horizontal="center"/>
    </xf>
    <xf numFmtId="12" fontId="10" fillId="0" borderId="2" xfId="0" applyNumberFormat="1" applyFont="1" applyBorder="1" applyAlignment="1">
      <alignment horizontal="center" vertical="center"/>
    </xf>
    <xf numFmtId="10" fontId="10" fillId="0" borderId="2" xfId="1" applyNumberFormat="1" applyFont="1" applyBorder="1" applyAlignment="1">
      <alignment horizontal="center" vertical="center"/>
    </xf>
    <xf numFmtId="0" fontId="1" fillId="0" borderId="29" xfId="0" applyFont="1" applyBorder="1" applyAlignment="1">
      <alignment vertical="center"/>
    </xf>
    <xf numFmtId="0" fontId="0" fillId="0" borderId="36" xfId="0" applyBorder="1" applyAlignment="1">
      <alignment vertical="center" wrapText="1"/>
    </xf>
    <xf numFmtId="0" fontId="0" fillId="0" borderId="0" xfId="0" applyFill="1" applyBorder="1" applyAlignment="1">
      <alignment horizontal="left"/>
    </xf>
    <xf numFmtId="0" fontId="0" fillId="2" borderId="3" xfId="0" applyFill="1" applyBorder="1"/>
    <xf numFmtId="0" fontId="0" fillId="2" borderId="4" xfId="0" applyFill="1" applyBorder="1"/>
    <xf numFmtId="2" fontId="5" fillId="0" borderId="0" xfId="0" applyNumberFormat="1" applyFont="1" applyBorder="1" applyAlignment="1">
      <alignment horizontal="center" vertical="center"/>
    </xf>
    <xf numFmtId="2" fontId="1" fillId="0" borderId="0" xfId="0" applyNumberFormat="1" applyFont="1" applyBorder="1" applyAlignment="1">
      <alignment horizontal="center" vertical="center"/>
    </xf>
    <xf numFmtId="0" fontId="0" fillId="0" borderId="0" xfId="0" applyFill="1" applyBorder="1" applyAlignment="1">
      <alignment vertical="center"/>
    </xf>
    <xf numFmtId="11" fontId="1" fillId="0" borderId="0" xfId="0" applyNumberFormat="1" applyFont="1" applyBorder="1" applyAlignment="1">
      <alignment vertical="center"/>
    </xf>
    <xf numFmtId="11" fontId="3" fillId="0" borderId="0" xfId="0" applyNumberFormat="1" applyFont="1" applyBorder="1" applyAlignment="1">
      <alignment vertical="center"/>
    </xf>
    <xf numFmtId="0" fontId="0" fillId="3" borderId="3" xfId="0" applyFill="1" applyBorder="1"/>
    <xf numFmtId="0" fontId="0" fillId="3" borderId="4" xfId="0" applyFill="1" applyBorder="1" applyAlignment="1">
      <alignment horizontal="center"/>
    </xf>
    <xf numFmtId="0" fontId="0" fillId="3" borderId="4" xfId="0" applyFill="1" applyBorder="1"/>
    <xf numFmtId="0" fontId="0" fillId="3" borderId="6" xfId="0" applyFill="1" applyBorder="1"/>
    <xf numFmtId="0" fontId="0" fillId="3" borderId="2" xfId="0" applyFill="1" applyBorder="1" applyAlignment="1">
      <alignment horizontal="center"/>
    </xf>
    <xf numFmtId="0" fontId="0" fillId="3" borderId="2" xfId="0" applyFill="1" applyBorder="1"/>
    <xf numFmtId="0" fontId="0" fillId="3" borderId="18" xfId="0" applyFill="1" applyBorder="1"/>
    <xf numFmtId="11" fontId="0" fillId="3" borderId="14" xfId="0" applyNumberFormat="1" applyFill="1" applyBorder="1" applyAlignment="1">
      <alignment horizontal="center"/>
    </xf>
    <xf numFmtId="0" fontId="0" fillId="3" borderId="14" xfId="0" applyFill="1" applyBorder="1"/>
    <xf numFmtId="11" fontId="0" fillId="2" borderId="4" xfId="0" applyNumberFormat="1" applyFill="1" applyBorder="1" applyAlignment="1">
      <alignment horizontal="center"/>
    </xf>
    <xf numFmtId="0" fontId="0" fillId="2" borderId="19" xfId="0" applyFill="1" applyBorder="1"/>
    <xf numFmtId="11" fontId="3" fillId="2" borderId="8" xfId="0" applyNumberFormat="1" applyFont="1" applyFill="1" applyBorder="1" applyAlignment="1">
      <alignment horizontal="center"/>
    </xf>
    <xf numFmtId="0" fontId="0" fillId="2" borderId="8" xfId="0" applyFill="1" applyBorder="1"/>
    <xf numFmtId="0" fontId="3" fillId="0" borderId="0" xfId="0" applyFont="1" applyAlignment="1">
      <alignment vertical="center"/>
    </xf>
    <xf numFmtId="166" fontId="0" fillId="2" borderId="34" xfId="0" applyNumberFormat="1" applyFill="1" applyBorder="1" applyAlignment="1">
      <alignment horizontal="center"/>
    </xf>
    <xf numFmtId="166" fontId="3" fillId="0" borderId="0" xfId="0" applyNumberFormat="1" applyFont="1" applyFill="1" applyAlignment="1">
      <alignment horizontal="center"/>
    </xf>
    <xf numFmtId="11" fontId="0" fillId="0" borderId="0" xfId="0" applyNumberFormat="1" applyAlignment="1">
      <alignment horizontal="center"/>
    </xf>
    <xf numFmtId="166" fontId="0" fillId="0" borderId="0" xfId="0" applyNumberFormat="1" applyFill="1" applyAlignment="1">
      <alignment horizontal="center"/>
    </xf>
    <xf numFmtId="0" fontId="3" fillId="0" borderId="0" xfId="0" applyFont="1" applyFill="1"/>
    <xf numFmtId="166" fontId="0" fillId="0" borderId="2" xfId="0" applyNumberFormat="1" applyBorder="1"/>
    <xf numFmtId="166" fontId="3" fillId="0" borderId="2" xfId="0" applyNumberFormat="1" applyFont="1" applyBorder="1"/>
    <xf numFmtId="0" fontId="7" fillId="0" borderId="2" xfId="0" applyFont="1" applyBorder="1"/>
    <xf numFmtId="166" fontId="0" fillId="0" borderId="4" xfId="0" applyNumberFormat="1" applyBorder="1"/>
    <xf numFmtId="166" fontId="0" fillId="2" borderId="4" xfId="0" applyNumberFormat="1" applyFill="1" applyBorder="1" applyAlignment="1">
      <alignment horizontal="center"/>
    </xf>
    <xf numFmtId="0" fontId="3" fillId="0" borderId="6" xfId="0" applyFont="1" applyBorder="1"/>
    <xf numFmtId="1" fontId="0" fillId="0" borderId="2" xfId="0" applyNumberFormat="1" applyFill="1" applyBorder="1" applyAlignment="1">
      <alignment horizontal="center" vertical="center"/>
    </xf>
    <xf numFmtId="1" fontId="7" fillId="2" borderId="35" xfId="0" applyNumberFormat="1" applyFont="1" applyFill="1" applyBorder="1" applyAlignment="1">
      <alignment horizontal="center" vertical="center"/>
    </xf>
    <xf numFmtId="0" fontId="0" fillId="0" borderId="7" xfId="0" applyFill="1" applyBorder="1" applyAlignment="1">
      <alignment vertical="center"/>
    </xf>
    <xf numFmtId="1" fontId="7" fillId="2" borderId="2" xfId="0" applyNumberFormat="1" applyFont="1" applyFill="1" applyBorder="1" applyAlignment="1">
      <alignment horizontal="center" vertical="center"/>
    </xf>
    <xf numFmtId="0" fontId="0" fillId="0" borderId="0" xfId="0" applyFill="1" applyAlignment="1">
      <alignment horizontal="center"/>
    </xf>
    <xf numFmtId="1" fontId="0" fillId="0" borderId="0" xfId="0" applyNumberFormat="1" applyFill="1" applyAlignment="1">
      <alignment horizontal="center"/>
    </xf>
    <xf numFmtId="164" fontId="0" fillId="0" borderId="0" xfId="0" applyNumberFormat="1" applyFill="1" applyAlignment="1">
      <alignment horizontal="center"/>
    </xf>
    <xf numFmtId="166" fontId="0" fillId="0" borderId="0" xfId="0" applyNumberFormat="1" applyFill="1"/>
    <xf numFmtId="168" fontId="0" fillId="0" borderId="0" xfId="0" applyNumberFormat="1"/>
    <xf numFmtId="0" fontId="10" fillId="0" borderId="3" xfId="0" applyFont="1" applyFill="1" applyBorder="1"/>
    <xf numFmtId="0" fontId="10" fillId="0" borderId="0" xfId="0" applyFont="1"/>
    <xf numFmtId="0" fontId="0" fillId="0" borderId="0" xfId="0" applyFill="1" applyBorder="1" applyAlignment="1"/>
    <xf numFmtId="0" fontId="0" fillId="4" borderId="0" xfId="0" applyFill="1"/>
    <xf numFmtId="2" fontId="0" fillId="4" borderId="0" xfId="0" applyNumberFormat="1" applyFill="1"/>
    <xf numFmtId="0" fontId="0" fillId="4" borderId="23" xfId="0" applyFill="1" applyBorder="1"/>
    <xf numFmtId="0" fontId="0" fillId="4" borderId="24" xfId="0" applyFill="1" applyBorder="1"/>
    <xf numFmtId="0" fontId="0" fillId="4" borderId="24" xfId="0" applyFill="1" applyBorder="1" applyAlignment="1">
      <alignment horizontal="center"/>
    </xf>
    <xf numFmtId="0" fontId="0" fillId="4" borderId="25" xfId="0" applyFill="1" applyBorder="1"/>
    <xf numFmtId="0" fontId="0" fillId="4" borderId="16" xfId="0" applyFill="1" applyBorder="1"/>
    <xf numFmtId="1" fontId="0" fillId="4" borderId="16" xfId="0" applyNumberFormat="1" applyFill="1" applyBorder="1" applyAlignment="1">
      <alignment horizontal="center"/>
    </xf>
    <xf numFmtId="0" fontId="0" fillId="4" borderId="22" xfId="0" applyFill="1" applyBorder="1"/>
    <xf numFmtId="166" fontId="7" fillId="4" borderId="2" xfId="0" applyNumberFormat="1" applyFont="1" applyFill="1" applyBorder="1"/>
    <xf numFmtId="1" fontId="4" fillId="4" borderId="2" xfId="0" applyNumberFormat="1" applyFont="1" applyFill="1" applyBorder="1" applyAlignment="1">
      <alignment horizontal="center"/>
    </xf>
    <xf numFmtId="0" fontId="0" fillId="4" borderId="7" xfId="0" applyFill="1" applyBorder="1"/>
    <xf numFmtId="0" fontId="0" fillId="4" borderId="2" xfId="0" quotePrefix="1" applyFill="1" applyBorder="1"/>
    <xf numFmtId="1" fontId="1" fillId="4" borderId="2" xfId="0" applyNumberFormat="1" applyFont="1" applyFill="1" applyBorder="1" applyAlignment="1">
      <alignment horizontal="center"/>
    </xf>
    <xf numFmtId="0" fontId="0" fillId="4" borderId="2" xfId="0" applyFill="1" applyBorder="1"/>
    <xf numFmtId="1" fontId="0" fillId="4" borderId="2" xfId="0" applyNumberFormat="1" applyFill="1" applyBorder="1" applyAlignment="1">
      <alignment horizontal="center"/>
    </xf>
    <xf numFmtId="164" fontId="0" fillId="4" borderId="2" xfId="0" applyNumberFormat="1" applyFill="1" applyBorder="1" applyAlignment="1">
      <alignment horizontal="center"/>
    </xf>
    <xf numFmtId="2" fontId="7" fillId="4" borderId="2" xfId="0" applyNumberFormat="1" applyFont="1" applyFill="1" applyBorder="1" applyAlignment="1">
      <alignment horizontal="center"/>
    </xf>
    <xf numFmtId="2" fontId="7" fillId="2" borderId="2" xfId="0" applyNumberFormat="1" applyFont="1" applyFill="1" applyBorder="1" applyAlignment="1">
      <alignment horizontal="center"/>
    </xf>
    <xf numFmtId="0" fontId="7" fillId="4" borderId="2" xfId="0" applyFont="1" applyFill="1" applyBorder="1"/>
    <xf numFmtId="10" fontId="0" fillId="4" borderId="2" xfId="0" applyNumberFormat="1" applyFill="1" applyBorder="1"/>
    <xf numFmtId="2" fontId="0" fillId="4" borderId="2" xfId="0" applyNumberFormat="1" applyFill="1" applyBorder="1"/>
    <xf numFmtId="1" fontId="0" fillId="4" borderId="2" xfId="0" applyNumberFormat="1" applyFill="1" applyBorder="1" applyAlignment="1">
      <alignment horizontal="center" vertical="center"/>
    </xf>
    <xf numFmtId="0" fontId="0" fillId="4" borderId="7" xfId="0" applyFill="1" applyBorder="1" applyAlignment="1">
      <alignment vertical="center"/>
    </xf>
    <xf numFmtId="166" fontId="0" fillId="4" borderId="2" xfId="0" applyNumberFormat="1" applyFill="1" applyBorder="1" applyAlignment="1">
      <alignment horizontal="center"/>
    </xf>
    <xf numFmtId="0" fontId="0" fillId="4" borderId="14" xfId="0" applyFill="1" applyBorder="1"/>
    <xf numFmtId="1" fontId="0" fillId="4" borderId="14" xfId="0" applyNumberFormat="1" applyFill="1" applyBorder="1" applyAlignment="1">
      <alignment horizontal="center"/>
    </xf>
    <xf numFmtId="0" fontId="0" fillId="4" borderId="15" xfId="0" applyFill="1" applyBorder="1"/>
    <xf numFmtId="0" fontId="0" fillId="4" borderId="8" xfId="0" applyFill="1" applyBorder="1"/>
    <xf numFmtId="166" fontId="3" fillId="4" borderId="8" xfId="0" applyNumberFormat="1" applyFont="1" applyFill="1" applyBorder="1" applyAlignment="1">
      <alignment horizontal="center"/>
    </xf>
    <xf numFmtId="0" fontId="0" fillId="4" borderId="9" xfId="0" applyFill="1" applyBorder="1"/>
    <xf numFmtId="0" fontId="4" fillId="4" borderId="11" xfId="0" applyFont="1" applyFill="1" applyBorder="1"/>
    <xf numFmtId="0" fontId="4" fillId="4" borderId="0" xfId="0" applyFont="1" applyFill="1"/>
    <xf numFmtId="1" fontId="5" fillId="4" borderId="12" xfId="0" applyNumberFormat="1" applyFont="1" applyFill="1" applyBorder="1" applyAlignment="1">
      <alignment horizontal="center"/>
    </xf>
    <xf numFmtId="1" fontId="5" fillId="4" borderId="0" xfId="0" applyNumberFormat="1" applyFont="1" applyFill="1" applyBorder="1" applyAlignment="1">
      <alignment horizontal="center"/>
    </xf>
    <xf numFmtId="0" fontId="0" fillId="4" borderId="13" xfId="0" applyFill="1" applyBorder="1"/>
    <xf numFmtId="9" fontId="5" fillId="4" borderId="10" xfId="0" applyNumberFormat="1" applyFont="1" applyFill="1" applyBorder="1"/>
    <xf numFmtId="0" fontId="1" fillId="0" borderId="0" xfId="0" applyFont="1" applyAlignment="1">
      <alignment horizontal="center"/>
    </xf>
    <xf numFmtId="12" fontId="1" fillId="0" borderId="0" xfId="0" applyNumberFormat="1" applyFont="1" applyAlignment="1">
      <alignment horizontal="center"/>
    </xf>
    <xf numFmtId="0" fontId="3" fillId="0" borderId="19" xfId="0" applyFont="1" applyBorder="1" applyAlignment="1">
      <alignment vertical="center" wrapText="1"/>
    </xf>
    <xf numFmtId="0" fontId="3" fillId="0" borderId="8" xfId="0" applyFont="1" applyBorder="1" applyAlignment="1">
      <alignment vertical="center"/>
    </xf>
    <xf numFmtId="166" fontId="3" fillId="2" borderId="8" xfId="0" applyNumberFormat="1" applyFont="1" applyFill="1" applyBorder="1" applyAlignment="1">
      <alignment horizontal="center" vertical="center"/>
    </xf>
    <xf numFmtId="0" fontId="0" fillId="0" borderId="0" xfId="0" applyFill="1" applyAlignment="1">
      <alignment vertical="center"/>
    </xf>
    <xf numFmtId="166" fontId="0" fillId="0" borderId="0" xfId="0" applyNumberFormat="1" applyFill="1" applyAlignment="1">
      <alignment vertical="center"/>
    </xf>
    <xf numFmtId="0" fontId="3" fillId="0" borderId="0" xfId="0" applyFont="1" applyFill="1" applyBorder="1" applyAlignment="1">
      <alignment vertical="center"/>
    </xf>
    <xf numFmtId="0" fontId="0" fillId="0" borderId="0" xfId="0" applyFill="1" applyBorder="1" applyAlignment="1">
      <alignment horizontal="center" vertical="center"/>
    </xf>
    <xf numFmtId="11" fontId="0" fillId="0" borderId="0" xfId="0" applyNumberFormat="1" applyFill="1" applyBorder="1" applyAlignment="1">
      <alignment horizontal="center"/>
    </xf>
    <xf numFmtId="11" fontId="3" fillId="0" borderId="0" xfId="0" applyNumberFormat="1" applyFont="1" applyFill="1" applyBorder="1" applyAlignment="1">
      <alignment horizontal="center"/>
    </xf>
    <xf numFmtId="0" fontId="3" fillId="0" borderId="2" xfId="0" applyFont="1" applyBorder="1"/>
    <xf numFmtId="0" fontId="1" fillId="0" borderId="6" xfId="0" applyFont="1" applyBorder="1"/>
    <xf numFmtId="166" fontId="0" fillId="0" borderId="8" xfId="0" applyNumberFormat="1" applyBorder="1" applyAlignment="1">
      <alignment vertical="center"/>
    </xf>
    <xf numFmtId="166" fontId="1" fillId="0" borderId="2" xfId="0" applyNumberFormat="1" applyFont="1" applyBorder="1"/>
    <xf numFmtId="0" fontId="1" fillId="0" borderId="17" xfId="0" applyFont="1" applyBorder="1"/>
    <xf numFmtId="0" fontId="3" fillId="0" borderId="16" xfId="0" applyFont="1" applyBorder="1"/>
    <xf numFmtId="1" fontId="1" fillId="2" borderId="16" xfId="0" applyNumberFormat="1" applyFont="1" applyFill="1" applyBorder="1" applyAlignment="1">
      <alignment horizontal="center"/>
    </xf>
    <xf numFmtId="0" fontId="1" fillId="0" borderId="16" xfId="0" applyFont="1" applyBorder="1"/>
    <xf numFmtId="0" fontId="10" fillId="0" borderId="2" xfId="0" applyFont="1" applyBorder="1"/>
    <xf numFmtId="164" fontId="0" fillId="0" borderId="0" xfId="0" applyNumberFormat="1" applyAlignment="1">
      <alignment horizontal="center"/>
    </xf>
    <xf numFmtId="2" fontId="0" fillId="0" borderId="0" xfId="0" applyNumberFormat="1" applyAlignment="1">
      <alignment horizontal="left"/>
    </xf>
    <xf numFmtId="2" fontId="10" fillId="0" borderId="0" xfId="0" applyNumberFormat="1" applyFont="1" applyAlignment="1">
      <alignment horizontal="left"/>
    </xf>
    <xf numFmtId="1" fontId="0" fillId="2" borderId="0" xfId="0" applyNumberFormat="1" applyFill="1" applyAlignment="1">
      <alignment horizontal="center"/>
    </xf>
    <xf numFmtId="0" fontId="3" fillId="0" borderId="0" xfId="0" applyFont="1" applyBorder="1" applyAlignment="1">
      <alignment vertical="center" wrapText="1"/>
    </xf>
    <xf numFmtId="166" fontId="3" fillId="2" borderId="0" xfId="0" applyNumberFormat="1" applyFont="1" applyFill="1" applyBorder="1" applyAlignment="1">
      <alignment horizontal="center" vertical="center"/>
    </xf>
    <xf numFmtId="1" fontId="1" fillId="2" borderId="0" xfId="0" applyNumberFormat="1" applyFont="1" applyFill="1" applyBorder="1" applyAlignment="1">
      <alignment horizontal="center" vertical="center"/>
    </xf>
    <xf numFmtId="1" fontId="0" fillId="0" borderId="0" xfId="0" applyNumberFormat="1" applyBorder="1" applyAlignment="1">
      <alignment vertical="center"/>
    </xf>
    <xf numFmtId="166" fontId="3" fillId="0" borderId="0" xfId="0" applyNumberFormat="1" applyFont="1" applyFill="1" applyBorder="1" applyAlignment="1">
      <alignment horizontal="center" vertical="center"/>
    </xf>
    <xf numFmtId="1" fontId="1" fillId="2" borderId="4" xfId="0" applyNumberFormat="1" applyFont="1" applyFill="1" applyBorder="1" applyAlignment="1">
      <alignment horizontal="center" vertical="center"/>
    </xf>
    <xf numFmtId="166" fontId="1" fillId="2" borderId="2" xfId="0" applyNumberFormat="1" applyFont="1" applyFill="1" applyBorder="1" applyAlignment="1">
      <alignment horizontal="center" vertical="center"/>
    </xf>
    <xf numFmtId="1" fontId="0" fillId="0" borderId="8" xfId="0" applyNumberFormat="1" applyBorder="1" applyAlignment="1">
      <alignment vertical="center" wrapText="1"/>
    </xf>
    <xf numFmtId="0" fontId="0" fillId="0" borderId="8" xfId="0" applyBorder="1" applyAlignment="1">
      <alignment vertical="center"/>
    </xf>
    <xf numFmtId="1" fontId="10" fillId="0" borderId="2" xfId="0" applyNumberFormat="1" applyFont="1" applyBorder="1" applyAlignment="1">
      <alignment horizontal="center" vertical="center"/>
    </xf>
    <xf numFmtId="166" fontId="0" fillId="0" borderId="0" xfId="0" applyNumberFormat="1" applyFill="1" applyAlignment="1">
      <alignment horizontal="center" vertical="center"/>
    </xf>
    <xf numFmtId="165" fontId="0" fillId="0" borderId="0" xfId="0" applyNumberFormat="1" applyAlignment="1">
      <alignment vertical="center"/>
    </xf>
    <xf numFmtId="0" fontId="3" fillId="0" borderId="0" xfId="0" applyFont="1" applyAlignment="1">
      <alignment horizontal="center" vertical="center"/>
    </xf>
    <xf numFmtId="10" fontId="3" fillId="0" borderId="2" xfId="0" applyNumberFormat="1" applyFont="1" applyBorder="1" applyAlignment="1">
      <alignment horizontal="center" vertical="center"/>
    </xf>
    <xf numFmtId="1" fontId="0" fillId="0" borderId="2" xfId="0" applyNumberFormat="1" applyBorder="1" applyAlignment="1">
      <alignment horizontal="center" vertical="center"/>
    </xf>
    <xf numFmtId="11" fontId="3" fillId="0" borderId="2" xfId="0" applyNumberFormat="1" applyFont="1" applyBorder="1" applyAlignment="1">
      <alignment horizontal="center" vertical="center"/>
    </xf>
    <xf numFmtId="2" fontId="3" fillId="0" borderId="0" xfId="0" applyNumberFormat="1" applyFont="1" applyAlignment="1">
      <alignment horizontal="center" vertical="center"/>
    </xf>
    <xf numFmtId="0" fontId="0" fillId="0" borderId="37" xfId="0" applyBorder="1" applyAlignment="1">
      <alignment vertical="center"/>
    </xf>
    <xf numFmtId="0" fontId="0" fillId="0" borderId="38" xfId="0" applyBorder="1" applyAlignment="1">
      <alignment vertical="center"/>
    </xf>
    <xf numFmtId="0" fontId="1" fillId="0" borderId="37" xfId="0" applyFont="1" applyBorder="1" applyAlignment="1">
      <alignment vertical="center"/>
    </xf>
    <xf numFmtId="0" fontId="0" fillId="5" borderId="0" xfId="0" applyFill="1" applyBorder="1" applyAlignment="1">
      <alignment vertical="center"/>
    </xf>
    <xf numFmtId="0" fontId="13" fillId="0" borderId="0" xfId="0" applyFont="1" applyFill="1" applyBorder="1" applyAlignment="1">
      <alignment horizontal="center" vertical="center"/>
    </xf>
    <xf numFmtId="2" fontId="3" fillId="0" borderId="0" xfId="0" applyNumberFormat="1" applyFont="1" applyBorder="1" applyAlignment="1">
      <alignment horizontal="center"/>
    </xf>
    <xf numFmtId="0" fontId="3" fillId="5" borderId="0" xfId="0" applyFont="1" applyFill="1" applyBorder="1" applyAlignment="1">
      <alignment horizontal="center" vertical="center"/>
    </xf>
    <xf numFmtId="0" fontId="0" fillId="5" borderId="39" xfId="0" applyFill="1" applyBorder="1" applyAlignment="1">
      <alignment vertical="center"/>
    </xf>
    <xf numFmtId="0" fontId="0" fillId="0" borderId="1" xfId="0" applyBorder="1" applyAlignment="1">
      <alignment vertical="center"/>
    </xf>
    <xf numFmtId="0" fontId="0" fillId="0" borderId="0" xfId="0" applyAlignment="1">
      <alignment horizontal="center" vertical="center" wrapText="1"/>
    </xf>
    <xf numFmtId="0" fontId="0" fillId="5" borderId="0" xfId="0" applyFill="1" applyBorder="1" applyAlignment="1">
      <alignment horizontal="center" vertical="center" wrapText="1"/>
    </xf>
    <xf numFmtId="0" fontId="0" fillId="5" borderId="39" xfId="0" applyFill="1" applyBorder="1" applyAlignment="1">
      <alignment vertical="center" wrapText="1"/>
    </xf>
    <xf numFmtId="0" fontId="0" fillId="0" borderId="1" xfId="0" applyBorder="1" applyAlignment="1">
      <alignment vertical="center" wrapText="1"/>
    </xf>
    <xf numFmtId="166" fontId="14" fillId="5" borderId="0" xfId="0" applyNumberFormat="1" applyFont="1" applyFill="1" applyBorder="1" applyAlignment="1">
      <alignment horizontal="center" vertical="center"/>
    </xf>
    <xf numFmtId="0" fontId="0" fillId="0" borderId="0" xfId="0" applyFill="1" applyBorder="1" applyAlignment="1">
      <alignment horizontal="left" vertical="center"/>
    </xf>
    <xf numFmtId="0" fontId="0" fillId="0" borderId="0" xfId="0" applyBorder="1" applyAlignment="1">
      <alignment horizontal="left" vertical="center"/>
    </xf>
    <xf numFmtId="0" fontId="0" fillId="0" borderId="39" xfId="0" applyBorder="1" applyAlignment="1">
      <alignment vertical="center"/>
    </xf>
    <xf numFmtId="0" fontId="0" fillId="0" borderId="1" xfId="0" applyFill="1" applyBorder="1" applyAlignment="1">
      <alignment horizontal="center" vertical="center"/>
    </xf>
    <xf numFmtId="0" fontId="0" fillId="0" borderId="1" xfId="0" applyFill="1" applyBorder="1" applyAlignment="1">
      <alignment vertical="center"/>
    </xf>
    <xf numFmtId="12" fontId="9" fillId="0" borderId="1" xfId="0" applyNumberFormat="1" applyFont="1" applyFill="1" applyBorder="1" applyAlignment="1">
      <alignment horizontal="center" vertical="center"/>
    </xf>
    <xf numFmtId="1" fontId="9" fillId="0" borderId="1" xfId="0" applyNumberFormat="1" applyFont="1" applyFill="1" applyBorder="1" applyAlignment="1">
      <alignment horizontal="center" vertical="center"/>
    </xf>
    <xf numFmtId="170" fontId="9" fillId="0" borderId="1" xfId="0" applyNumberFormat="1" applyFont="1" applyFill="1" applyBorder="1" applyAlignment="1">
      <alignment horizontal="center" vertical="center"/>
    </xf>
    <xf numFmtId="10" fontId="9" fillId="0" borderId="1" xfId="0" applyNumberFormat="1" applyFont="1" applyFill="1" applyBorder="1" applyAlignment="1">
      <alignment horizontal="center" vertical="center"/>
    </xf>
    <xf numFmtId="166" fontId="0" fillId="0" borderId="1" xfId="0" applyNumberFormat="1" applyFill="1" applyBorder="1" applyAlignment="1">
      <alignment horizontal="center" vertical="center"/>
    </xf>
    <xf numFmtId="2" fontId="3" fillId="0" borderId="1" xfId="0" applyNumberFormat="1" applyFont="1" applyFill="1" applyBorder="1" applyAlignment="1">
      <alignment horizontal="center" vertical="center"/>
    </xf>
    <xf numFmtId="2" fontId="0" fillId="0" borderId="1" xfId="0" applyNumberFormat="1" applyFill="1" applyBorder="1" applyAlignment="1">
      <alignment horizontal="center" vertical="center"/>
    </xf>
    <xf numFmtId="2" fontId="0" fillId="0" borderId="1" xfId="0" applyNumberFormat="1" applyFill="1" applyBorder="1" applyAlignment="1">
      <alignment vertical="center"/>
    </xf>
    <xf numFmtId="0" fontId="12" fillId="0" borderId="1" xfId="0" applyFont="1" applyFill="1" applyBorder="1" applyAlignment="1">
      <alignment horizontal="center" vertical="center"/>
    </xf>
    <xf numFmtId="0" fontId="15" fillId="0" borderId="1" xfId="0" applyFont="1" applyFill="1" applyBorder="1" applyAlignment="1">
      <alignment horizontal="center" vertical="center"/>
    </xf>
    <xf numFmtId="166" fontId="15" fillId="0" borderId="1" xfId="0" applyNumberFormat="1" applyFont="1" applyFill="1" applyBorder="1" applyAlignment="1">
      <alignment horizontal="center" vertical="center"/>
    </xf>
    <xf numFmtId="0" fontId="15" fillId="0" borderId="1" xfId="0" applyFont="1" applyFill="1" applyBorder="1" applyAlignment="1">
      <alignment vertical="center"/>
    </xf>
    <xf numFmtId="1" fontId="0" fillId="0" borderId="1" xfId="0" applyNumberFormat="1" applyFill="1" applyBorder="1" applyAlignment="1">
      <alignment horizontal="center" vertical="center"/>
    </xf>
    <xf numFmtId="165" fontId="3" fillId="0" borderId="1" xfId="0" applyNumberFormat="1" applyFont="1" applyFill="1" applyBorder="1" applyAlignment="1">
      <alignment horizontal="center" vertical="center"/>
    </xf>
    <xf numFmtId="0" fontId="12" fillId="0" borderId="1" xfId="0" applyFont="1" applyFill="1" applyBorder="1" applyAlignment="1">
      <alignment horizontal="left" vertical="center"/>
    </xf>
    <xf numFmtId="2" fontId="9" fillId="0" borderId="1" xfId="0" applyNumberFormat="1" applyFont="1" applyFill="1" applyBorder="1" applyAlignment="1">
      <alignment horizontal="center" vertical="center"/>
    </xf>
    <xf numFmtId="170" fontId="0" fillId="0" borderId="1" xfId="1" applyNumberFormat="1" applyFont="1" applyFill="1" applyBorder="1" applyAlignment="1">
      <alignment horizontal="center" vertical="center"/>
    </xf>
    <xf numFmtId="167" fontId="3" fillId="0" borderId="1" xfId="0" applyNumberFormat="1" applyFont="1" applyFill="1" applyBorder="1" applyAlignment="1">
      <alignment horizontal="center" vertical="center"/>
    </xf>
    <xf numFmtId="1" fontId="0" fillId="0" borderId="1" xfId="0" applyNumberFormat="1" applyFill="1" applyBorder="1" applyAlignment="1">
      <alignment vertical="center"/>
    </xf>
    <xf numFmtId="2" fontId="3" fillId="0" borderId="1" xfId="1" applyNumberFormat="1" applyFont="1" applyFill="1" applyBorder="1" applyAlignment="1">
      <alignment horizontal="center" vertical="center"/>
    </xf>
    <xf numFmtId="2" fontId="3" fillId="0" borderId="0" xfId="0" applyNumberFormat="1" applyFont="1" applyFill="1" applyBorder="1" applyAlignment="1">
      <alignment horizontal="center" vertical="center"/>
    </xf>
    <xf numFmtId="11" fontId="0" fillId="0" borderId="0" xfId="0" applyNumberFormat="1" applyFill="1" applyBorder="1" applyAlignment="1">
      <alignment vertical="center"/>
    </xf>
    <xf numFmtId="0" fontId="3" fillId="0" borderId="0" xfId="0" applyFont="1" applyFill="1" applyBorder="1" applyAlignment="1">
      <alignment horizontal="center" vertical="center"/>
    </xf>
    <xf numFmtId="0" fontId="0" fillId="0" borderId="0" xfId="0" applyFill="1" applyBorder="1" applyAlignment="1">
      <alignment horizontal="center" vertical="center" wrapText="1"/>
    </xf>
    <xf numFmtId="166" fontId="14" fillId="0" borderId="0" xfId="0" applyNumberFormat="1" applyFont="1" applyFill="1" applyBorder="1" applyAlignment="1">
      <alignment horizontal="center" vertical="center"/>
    </xf>
    <xf numFmtId="12"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center" vertical="center"/>
    </xf>
    <xf numFmtId="170" fontId="9" fillId="0" borderId="0" xfId="1" applyNumberFormat="1" applyFont="1" applyFill="1" applyBorder="1" applyAlignment="1">
      <alignment horizontal="center" vertical="center"/>
    </xf>
    <xf numFmtId="166" fontId="0" fillId="0" borderId="0" xfId="0" applyNumberFormat="1" applyFill="1" applyBorder="1" applyAlignment="1">
      <alignment horizontal="center" vertical="center"/>
    </xf>
    <xf numFmtId="2" fontId="0" fillId="0" borderId="0" xfId="0" applyNumberFormat="1" applyFill="1" applyBorder="1" applyAlignment="1">
      <alignment horizontal="center" vertical="center"/>
    </xf>
    <xf numFmtId="2" fontId="0" fillId="0" borderId="0" xfId="0" applyNumberFormat="1" applyFill="1" applyBorder="1" applyAlignment="1">
      <alignment vertical="center"/>
    </xf>
    <xf numFmtId="0" fontId="12" fillId="0" borderId="0" xfId="0" applyFont="1" applyFill="1" applyBorder="1" applyAlignment="1">
      <alignment horizontal="center" vertical="center"/>
    </xf>
    <xf numFmtId="0" fontId="15" fillId="0" borderId="0" xfId="0" applyFont="1" applyFill="1" applyBorder="1" applyAlignment="1">
      <alignment horizontal="center" vertical="center"/>
    </xf>
    <xf numFmtId="166"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1" fontId="0" fillId="0" borderId="0" xfId="0" applyNumberFormat="1" applyFill="1" applyBorder="1" applyAlignment="1">
      <alignment horizontal="center" vertical="center"/>
    </xf>
    <xf numFmtId="165" fontId="3" fillId="0" borderId="0" xfId="0" applyNumberFormat="1" applyFont="1" applyFill="1" applyBorder="1" applyAlignment="1">
      <alignment horizontal="center" vertical="center"/>
    </xf>
    <xf numFmtId="0" fontId="3" fillId="0" borderId="0" xfId="0" applyFont="1" applyFill="1" applyBorder="1" applyAlignment="1">
      <alignment horizontal="left" vertical="center"/>
    </xf>
    <xf numFmtId="0" fontId="12" fillId="0" borderId="0" xfId="0" applyFont="1" applyFill="1" applyBorder="1" applyAlignment="1">
      <alignment horizontal="left" vertical="center"/>
    </xf>
    <xf numFmtId="2" fontId="9" fillId="0" borderId="0" xfId="0" applyNumberFormat="1" applyFont="1" applyFill="1" applyBorder="1" applyAlignment="1">
      <alignment horizontal="center" vertical="center"/>
    </xf>
    <xf numFmtId="170" fontId="1" fillId="0" borderId="0" xfId="1" applyNumberFormat="1" applyFont="1" applyFill="1" applyBorder="1" applyAlignment="1">
      <alignment horizontal="center" vertical="center"/>
    </xf>
    <xf numFmtId="167" fontId="3" fillId="0" borderId="0" xfId="0" applyNumberFormat="1" applyFont="1" applyFill="1" applyBorder="1" applyAlignment="1">
      <alignment horizontal="center" vertical="center"/>
    </xf>
    <xf numFmtId="1" fontId="0" fillId="0" borderId="0" xfId="0" applyNumberFormat="1" applyFill="1" applyBorder="1" applyAlignment="1">
      <alignment vertical="center"/>
    </xf>
    <xf numFmtId="10" fontId="1" fillId="0" borderId="0" xfId="1" applyNumberFormat="1" applyFont="1" applyFill="1" applyBorder="1" applyAlignment="1">
      <alignment horizontal="left" vertical="center"/>
    </xf>
    <xf numFmtId="2" fontId="3" fillId="0" borderId="0" xfId="1" applyNumberFormat="1" applyFont="1" applyFill="1" applyBorder="1" applyAlignment="1">
      <alignment horizontal="center" vertical="center"/>
    </xf>
    <xf numFmtId="10" fontId="1" fillId="0" borderId="0" xfId="1" applyNumberFormat="1" applyFont="1" applyFill="1" applyBorder="1" applyAlignment="1">
      <alignment vertical="center"/>
    </xf>
    <xf numFmtId="165" fontId="0" fillId="0" borderId="0" xfId="0" applyNumberFormat="1" applyFill="1" applyBorder="1" applyAlignment="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171" fontId="10" fillId="0" borderId="2" xfId="0" applyNumberFormat="1" applyFont="1" applyBorder="1" applyAlignment="1">
      <alignment horizontal="center" vertical="center"/>
    </xf>
    <xf numFmtId="0" fontId="16" fillId="0" borderId="40" xfId="0" applyFont="1" applyBorder="1" applyAlignment="1">
      <alignment horizontal="left" vertical="center"/>
    </xf>
    <xf numFmtId="0" fontId="0" fillId="0" borderId="41" xfId="0" applyBorder="1" applyAlignment="1">
      <alignment horizontal="left" vertical="center"/>
    </xf>
    <xf numFmtId="0" fontId="1" fillId="0" borderId="41" xfId="0" applyFont="1" applyBorder="1" applyAlignment="1">
      <alignment horizontal="left" vertical="center"/>
    </xf>
    <xf numFmtId="0" fontId="0" fillId="0" borderId="42" xfId="0" applyBorder="1" applyAlignment="1">
      <alignment horizontal="left" vertical="center"/>
    </xf>
    <xf numFmtId="0" fontId="3" fillId="0" borderId="39" xfId="0" applyFont="1" applyFill="1" applyBorder="1" applyAlignment="1">
      <alignment horizontal="left" vertical="center"/>
    </xf>
    <xf numFmtId="2" fontId="0" fillId="0" borderId="0" xfId="0" applyNumberFormat="1" applyAlignment="1">
      <alignment horizontal="right"/>
    </xf>
    <xf numFmtId="0" fontId="10" fillId="0" borderId="0" xfId="0" applyFont="1" applyAlignment="1">
      <alignment horizontal="center" vertical="center"/>
    </xf>
    <xf numFmtId="167" fontId="0" fillId="0" borderId="0" xfId="0" applyNumberFormat="1" applyAlignment="1">
      <alignment horizontal="center" vertical="center"/>
    </xf>
    <xf numFmtId="0" fontId="3" fillId="2" borderId="2" xfId="0" applyFont="1" applyFill="1" applyBorder="1" applyAlignment="1">
      <alignment horizontal="left"/>
    </xf>
    <xf numFmtId="2" fontId="3" fillId="2" borderId="2" xfId="0" applyNumberFormat="1" applyFont="1" applyFill="1" applyBorder="1" applyAlignment="1">
      <alignment horizontal="center"/>
    </xf>
    <xf numFmtId="0" fontId="0" fillId="2" borderId="2" xfId="0" applyFill="1" applyBorder="1" applyAlignment="1">
      <alignment horizontal="center"/>
    </xf>
    <xf numFmtId="0" fontId="0" fillId="2" borderId="2" xfId="0" applyFill="1" applyBorder="1" applyAlignment="1">
      <alignment horizontal="left"/>
    </xf>
    <xf numFmtId="12" fontId="0" fillId="2" borderId="2" xfId="0" applyNumberFormat="1" applyFill="1" applyBorder="1" applyAlignment="1">
      <alignment horizontal="center"/>
    </xf>
    <xf numFmtId="12" fontId="12" fillId="2" borderId="2" xfId="0" applyNumberFormat="1" applyFont="1" applyFill="1" applyBorder="1" applyAlignment="1">
      <alignment horizontal="center"/>
    </xf>
    <xf numFmtId="169" fontId="0" fillId="2" borderId="2" xfId="0" applyNumberFormat="1" applyFill="1" applyBorder="1" applyAlignment="1">
      <alignment horizontal="center"/>
    </xf>
    <xf numFmtId="0" fontId="0" fillId="0" borderId="39" xfId="0" applyFill="1" applyBorder="1" applyAlignment="1">
      <alignment vertical="center"/>
    </xf>
    <xf numFmtId="0" fontId="3" fillId="0" borderId="39" xfId="0" applyFont="1" applyFill="1" applyBorder="1" applyAlignment="1">
      <alignment vertical="center"/>
    </xf>
    <xf numFmtId="0" fontId="0" fillId="0" borderId="39" xfId="0" applyFill="1" applyBorder="1" applyAlignment="1">
      <alignment horizontal="left" vertical="center"/>
    </xf>
    <xf numFmtId="10" fontId="0" fillId="0" borderId="39" xfId="1" applyNumberFormat="1" applyFont="1" applyFill="1" applyBorder="1" applyAlignment="1">
      <alignment horizontal="left" vertical="center"/>
    </xf>
    <xf numFmtId="10" fontId="0" fillId="0" borderId="39" xfId="1" applyNumberFormat="1" applyFont="1" applyFill="1" applyBorder="1" applyAlignment="1">
      <alignment vertical="center"/>
    </xf>
    <xf numFmtId="0" fontId="10" fillId="0" borderId="27" xfId="0" applyFont="1" applyBorder="1" applyAlignment="1">
      <alignment horizontal="center" vertical="center"/>
    </xf>
    <xf numFmtId="9" fontId="0" fillId="0" borderId="0" xfId="0" applyNumberFormat="1"/>
    <xf numFmtId="11" fontId="1" fillId="0" borderId="0" xfId="0" applyNumberFormat="1" applyFont="1" applyBorder="1" applyAlignment="1">
      <alignment horizontal="center" vertical="center"/>
    </xf>
    <xf numFmtId="2" fontId="0" fillId="0" borderId="2" xfId="0" quotePrefix="1" applyNumberFormat="1" applyFill="1" applyBorder="1"/>
    <xf numFmtId="0" fontId="0" fillId="0" borderId="0" xfId="0" applyAlignment="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48" xfId="0" applyBorder="1" applyAlignment="1">
      <alignment horizontal="center" vertical="center"/>
    </xf>
    <xf numFmtId="0" fontId="0" fillId="0" borderId="2" xfId="0" applyBorder="1" applyAlignment="1">
      <alignment horizontal="center" vertical="center"/>
    </xf>
    <xf numFmtId="0" fontId="0" fillId="0" borderId="19" xfId="0" applyBorder="1" applyAlignment="1">
      <alignment horizontal="center" vertical="center"/>
    </xf>
    <xf numFmtId="0" fontId="0" fillId="0" borderId="9" xfId="0" applyBorder="1" applyAlignment="1">
      <alignment horizontal="center" vertical="center"/>
    </xf>
    <xf numFmtId="0" fontId="0" fillId="0" borderId="49" xfId="0" applyBorder="1" applyAlignment="1">
      <alignment horizontal="center" vertical="center"/>
    </xf>
    <xf numFmtId="0" fontId="0" fillId="0" borderId="8" xfId="0" applyBorder="1" applyAlignment="1">
      <alignment horizontal="center" vertical="center"/>
    </xf>
    <xf numFmtId="9" fontId="0" fillId="0" borderId="6" xfId="0" applyNumberFormat="1" applyBorder="1" applyAlignment="1">
      <alignment horizontal="center" vertical="center"/>
    </xf>
    <xf numFmtId="9" fontId="0" fillId="0" borderId="48" xfId="0" applyNumberFormat="1" applyBorder="1" applyAlignment="1">
      <alignment horizontal="center" vertical="center"/>
    </xf>
    <xf numFmtId="9" fontId="0" fillId="0" borderId="2" xfId="0" applyNumberFormat="1" applyBorder="1" applyAlignment="1">
      <alignment horizontal="center" vertical="center"/>
    </xf>
    <xf numFmtId="12" fontId="0" fillId="0" borderId="17" xfId="0" applyNumberFormat="1" applyBorder="1" applyAlignment="1">
      <alignment horizontal="center" vertical="center"/>
    </xf>
    <xf numFmtId="0" fontId="0" fillId="0" borderId="22" xfId="0" applyBorder="1" applyAlignment="1">
      <alignment vertical="center"/>
    </xf>
    <xf numFmtId="12" fontId="0" fillId="0" borderId="50" xfId="0" applyNumberFormat="1" applyBorder="1" applyAlignment="1">
      <alignment horizontal="center" vertical="center"/>
    </xf>
    <xf numFmtId="0" fontId="0" fillId="0" borderId="16" xfId="0" applyBorder="1" applyAlignment="1">
      <alignment vertical="center"/>
    </xf>
    <xf numFmtId="12" fontId="0" fillId="0" borderId="16" xfId="0" applyNumberFormat="1" applyBorder="1" applyAlignment="1">
      <alignment horizontal="center" vertical="center"/>
    </xf>
    <xf numFmtId="0" fontId="0" fillId="0" borderId="7" xfId="0" applyBorder="1" applyAlignment="1">
      <alignment vertical="center"/>
    </xf>
    <xf numFmtId="0" fontId="13" fillId="6" borderId="43" xfId="0" applyFont="1" applyFill="1" applyBorder="1" applyAlignment="1">
      <alignment horizontal="center" vertical="center"/>
    </xf>
    <xf numFmtId="0" fontId="13" fillId="6" borderId="44" xfId="0" applyFont="1" applyFill="1" applyBorder="1" applyAlignment="1">
      <alignment horizontal="center" vertical="center"/>
    </xf>
    <xf numFmtId="0" fontId="13" fillId="6" borderId="45" xfId="0" applyFont="1" applyFill="1"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2" xfId="0" applyBorder="1" applyAlignment="1">
      <alignment vertical="center"/>
    </xf>
    <xf numFmtId="12" fontId="0" fillId="0" borderId="49" xfId="0" applyNumberFormat="1" applyBorder="1" applyAlignment="1">
      <alignment horizontal="center" vertical="center"/>
    </xf>
    <xf numFmtId="0" fontId="10" fillId="0" borderId="0" xfId="0" applyFont="1" applyAlignment="1">
      <alignment horizontal="center" vertical="center"/>
    </xf>
    <xf numFmtId="0" fontId="0" fillId="3" borderId="35" xfId="0" applyFill="1" applyBorder="1" applyAlignment="1"/>
    <xf numFmtId="0" fontId="0" fillId="3" borderId="51" xfId="0" applyFill="1" applyBorder="1" applyAlignment="1"/>
    <xf numFmtId="0" fontId="0" fillId="3" borderId="52" xfId="0" applyFill="1" applyBorder="1" applyAlignment="1"/>
    <xf numFmtId="0" fontId="0" fillId="2" borderId="56" xfId="0" applyFill="1" applyBorder="1" applyAlignment="1"/>
    <xf numFmtId="0" fontId="0" fillId="2" borderId="24" xfId="0" applyFill="1" applyBorder="1" applyAlignment="1"/>
    <xf numFmtId="0" fontId="0" fillId="2" borderId="25" xfId="0" applyFill="1" applyBorder="1" applyAlignment="1"/>
    <xf numFmtId="0" fontId="0" fillId="2" borderId="57" xfId="0" applyFill="1" applyBorder="1" applyAlignment="1"/>
    <xf numFmtId="0" fontId="0" fillId="2" borderId="58" xfId="0" applyFill="1" applyBorder="1" applyAlignment="1"/>
    <xf numFmtId="0" fontId="0" fillId="2" borderId="59" xfId="0" applyFill="1" applyBorder="1" applyAlignment="1"/>
    <xf numFmtId="0" fontId="0" fillId="3" borderId="53" xfId="0" applyFill="1" applyBorder="1" applyAlignment="1"/>
    <xf numFmtId="0" fontId="0" fillId="3" borderId="54" xfId="0" applyFill="1" applyBorder="1" applyAlignment="1"/>
    <xf numFmtId="0" fontId="0" fillId="3" borderId="55" xfId="0" applyFill="1" applyBorder="1" applyAlignment="1"/>
    <xf numFmtId="0" fontId="0" fillId="3" borderId="56" xfId="0" applyFill="1" applyBorder="1" applyAlignment="1"/>
    <xf numFmtId="0" fontId="0" fillId="3" borderId="24" xfId="0" applyFill="1" applyBorder="1" applyAlignment="1"/>
    <xf numFmtId="0" fontId="0" fillId="3" borderId="25" xfId="0" applyFill="1" applyBorder="1" applyAlignment="1"/>
    <xf numFmtId="0" fontId="0" fillId="0" borderId="0" xfId="0" applyBorder="1" applyAlignment="1">
      <alignment vertical="center"/>
    </xf>
    <xf numFmtId="0" fontId="0" fillId="0" borderId="0" xfId="0" applyBorder="1" applyAlignment="1">
      <alignment horizontal="center" vertical="center"/>
    </xf>
    <xf numFmtId="9" fontId="0" fillId="0" borderId="0" xfId="0" applyNumberFormat="1" applyBorder="1" applyAlignment="1">
      <alignment horizontal="center" vertical="center"/>
    </xf>
    <xf numFmtId="0" fontId="0" fillId="0" borderId="0" xfId="0" applyFill="1" applyBorder="1" applyAlignment="1"/>
    <xf numFmtId="11" fontId="10" fillId="0" borderId="0" xfId="0" applyNumberFormat="1" applyFont="1" applyFill="1" applyBorder="1" applyAlignment="1"/>
    <xf numFmtId="0" fontId="10" fillId="0" borderId="0" xfId="0" applyFont="1" applyFill="1" applyBorder="1" applyAlignment="1"/>
    <xf numFmtId="9" fontId="0" fillId="0" borderId="0" xfId="0" applyNumberFormat="1" applyFill="1" applyBorder="1" applyAlignment="1">
      <alignment horizontal="center" vertical="center"/>
    </xf>
    <xf numFmtId="0" fontId="0" fillId="0" borderId="0" xfId="0" applyFill="1" applyBorder="1" applyAlignment="1">
      <alignment horizontal="center" vertical="center"/>
    </xf>
    <xf numFmtId="0" fontId="13" fillId="6" borderId="2" xfId="0" applyFont="1" applyFill="1" applyBorder="1" applyAlignment="1">
      <alignment horizontal="center"/>
    </xf>
    <xf numFmtId="0" fontId="13" fillId="0" borderId="0"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Border="1" applyAlignment="1"/>
    <xf numFmtId="0" fontId="13" fillId="0" borderId="1" xfId="0" applyFont="1" applyFill="1" applyBorder="1" applyAlignment="1">
      <alignment horizontal="center" vertical="center"/>
    </xf>
    <xf numFmtId="0" fontId="0" fillId="0" borderId="1" xfId="0" applyFill="1" applyBorder="1" applyAlignment="1">
      <alignment horizontal="center" vertical="center"/>
    </xf>
  </cellXfs>
  <cellStyles count="4">
    <cellStyle name="Followed Hyperlink" xfId="3" builtinId="9" hidden="1"/>
    <cellStyle name="Hyperlink" xfId="2" builtinId="8" hidden="1"/>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externalLink" Target="externalLinks/externalLink1.xml"/><Relationship Id="rId14" Type="http://schemas.openxmlformats.org/officeDocument/2006/relationships/theme" Target="theme/theme1.xml"/><Relationship Id="rId15" Type="http://schemas.openxmlformats.org/officeDocument/2006/relationships/styles" Target="styles.xml"/><Relationship Id="rId16" Type="http://schemas.openxmlformats.org/officeDocument/2006/relationships/sharedStrings" Target="sharedStrings.xml"/><Relationship Id="rId1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b="1" i="0" u="none" strike="noStrike" baseline="0">
                <a:solidFill>
                  <a:srgbClr val="000000"/>
                </a:solidFill>
                <a:latin typeface="Arial"/>
                <a:ea typeface="Arial"/>
                <a:cs typeface="Arial"/>
              </a:defRPr>
            </a:pPr>
            <a:r>
              <a:rPr lang="en-US"/>
              <a:t>HPA Power vs Link Distance
(Large Dish, 14Mbps, 2/3 QPSK)</a:t>
            </a:r>
          </a:p>
        </c:rich>
      </c:tx>
      <c:layout>
        <c:manualLayout>
          <c:xMode val="edge"/>
          <c:yMode val="edge"/>
          <c:x val="0.320388859159596"/>
          <c:y val="0.0342679127725857"/>
        </c:manualLayout>
      </c:layout>
      <c:overlay val="0"/>
      <c:spPr>
        <a:noFill/>
        <a:ln w="25400">
          <a:noFill/>
        </a:ln>
      </c:spPr>
    </c:title>
    <c:autoTitleDeleted val="0"/>
    <c:plotArea>
      <c:layout/>
      <c:scatterChart>
        <c:scatterStyle val="lineMarker"/>
        <c:varyColors val="0"/>
        <c:ser>
          <c:idx val="0"/>
          <c:order val="0"/>
          <c:tx>
            <c:strRef>
              <c:f>'TA -&gt; GS (SC-SOQPSK)'!#REF!</c:f>
              <c:strCache>
                <c:ptCount val="1"/>
                <c:pt idx="0">
                  <c:v>#REF!</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xVal>
            <c:numRef>
              <c:f>'TA -&gt; GS (SC-SOQPSK)'!#REF!</c:f>
              <c:numCache>
                <c:formatCode>General</c:formatCode>
                <c:ptCount val="1"/>
                <c:pt idx="0">
                  <c:v>1.0</c:v>
                </c:pt>
              </c:numCache>
            </c:numRef>
          </c:xVal>
          <c:yVal>
            <c:numRef>
              <c:f>'TA -&gt; GS (SC-SOQPSK)'!#REF!</c:f>
              <c:numCache>
                <c:formatCode>General</c:formatCode>
                <c:ptCount val="1"/>
                <c:pt idx="0">
                  <c:v>1.0</c:v>
                </c:pt>
              </c:numCache>
            </c:numRef>
          </c:yVal>
          <c:smooth val="0"/>
        </c:ser>
        <c:dLbls>
          <c:showLegendKey val="0"/>
          <c:showVal val="0"/>
          <c:showCatName val="0"/>
          <c:showSerName val="0"/>
          <c:showPercent val="0"/>
          <c:showBubbleSize val="0"/>
        </c:dLbls>
        <c:axId val="591096216"/>
        <c:axId val="591105416"/>
      </c:scatterChart>
      <c:valAx>
        <c:axId val="591096216"/>
        <c:scaling>
          <c:orientation val="minMax"/>
        </c:scaling>
        <c:delete val="0"/>
        <c:axPos val="b"/>
        <c:title>
          <c:tx>
            <c:rich>
              <a:bodyPr/>
              <a:lstStyle/>
              <a:p>
                <a:pPr>
                  <a:defRPr sz="875" b="1" i="0" u="none" strike="noStrike" baseline="0">
                    <a:solidFill>
                      <a:srgbClr val="000000"/>
                    </a:solidFill>
                    <a:latin typeface="Arial"/>
                    <a:ea typeface="Arial"/>
                    <a:cs typeface="Arial"/>
                  </a:defRPr>
                </a:pPr>
                <a:r>
                  <a:rPr lang="en-US"/>
                  <a:t>Link Distance (nm)</a:t>
                </a:r>
              </a:p>
            </c:rich>
          </c:tx>
          <c:layout>
            <c:manualLayout>
              <c:xMode val="edge"/>
              <c:yMode val="edge"/>
              <c:x val="0.444984498296936"/>
              <c:y val="0.8847378189875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591105416"/>
        <c:crossesAt val="-50.0"/>
        <c:crossBetween val="midCat"/>
      </c:valAx>
      <c:valAx>
        <c:axId val="591105416"/>
        <c:scaling>
          <c:orientation val="minMax"/>
          <c:max val="40.0"/>
        </c:scaling>
        <c:delete val="0"/>
        <c:axPos val="l"/>
        <c:majorGridlines>
          <c:spPr>
            <a:ln w="3175">
              <a:solidFill>
                <a:srgbClr val="000000"/>
              </a:solidFill>
              <a:prstDash val="solid"/>
            </a:ln>
          </c:spPr>
        </c:majorGridlines>
        <c:title>
          <c:tx>
            <c:rich>
              <a:bodyPr/>
              <a:lstStyle/>
              <a:p>
                <a:pPr>
                  <a:defRPr sz="875" b="1" i="0" u="none" strike="noStrike" baseline="0">
                    <a:solidFill>
                      <a:srgbClr val="000000"/>
                    </a:solidFill>
                    <a:latin typeface="Arial"/>
                    <a:ea typeface="Arial"/>
                    <a:cs typeface="Arial"/>
                  </a:defRPr>
                </a:pPr>
                <a:r>
                  <a:rPr lang="en-US"/>
                  <a:t>HPA Power (dBm)</a:t>
                </a:r>
              </a:p>
            </c:rich>
          </c:tx>
          <c:layout>
            <c:manualLayout>
              <c:xMode val="edge"/>
              <c:yMode val="edge"/>
              <c:x val="0.0258899676375405"/>
              <c:y val="0.35825643289915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591096216"/>
        <c:crosses val="autoZero"/>
        <c:crossBetween val="midCat"/>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1" i="0" u="none" strike="noStrike" baseline="0">
                <a:solidFill>
                  <a:srgbClr val="000000"/>
                </a:solidFill>
                <a:latin typeface="Arial"/>
                <a:ea typeface="Arial"/>
                <a:cs typeface="Arial"/>
              </a:defRPr>
            </a:pPr>
            <a:r>
              <a:rPr lang="en-US"/>
              <a:t>HPA Power vs Link Distance
(Small Dish, 14Mbps, 2/3 QPSK)</a:t>
            </a:r>
          </a:p>
        </c:rich>
      </c:tx>
      <c:layout>
        <c:manualLayout>
          <c:xMode val="edge"/>
          <c:yMode val="edge"/>
          <c:x val="0.3375"/>
          <c:y val="0.0387323943661972"/>
        </c:manualLayout>
      </c:layout>
      <c:overlay val="0"/>
      <c:spPr>
        <a:noFill/>
        <a:ln w="25400">
          <a:noFill/>
        </a:ln>
      </c:spPr>
    </c:title>
    <c:autoTitleDeleted val="0"/>
    <c:plotArea>
      <c:layout/>
      <c:scatterChart>
        <c:scatterStyle val="lineMarker"/>
        <c:varyColors val="0"/>
        <c:ser>
          <c:idx val="0"/>
          <c:order val="0"/>
          <c:tx>
            <c:strRef>
              <c:f>'TA -&gt; GS (SC-SOQPSK)'!#REF!</c:f>
              <c:strCache>
                <c:ptCount val="1"/>
                <c:pt idx="0">
                  <c:v>#REF!</c:v>
                </c:pt>
              </c:strCache>
            </c:strRef>
          </c:tx>
          <c:xVal>
            <c:numRef>
              <c:f>'TA -&gt; GS (SC-SOQPSK)'!#REF!</c:f>
              <c:numCache>
                <c:formatCode>General</c:formatCode>
                <c:ptCount val="1"/>
                <c:pt idx="0">
                  <c:v>1.0</c:v>
                </c:pt>
              </c:numCache>
            </c:numRef>
          </c:xVal>
          <c:yVal>
            <c:numRef>
              <c:f>'TA -&gt; GS (SC-SOQPSK)'!#REF!</c:f>
              <c:numCache>
                <c:formatCode>General</c:formatCode>
                <c:ptCount val="1"/>
                <c:pt idx="0">
                  <c:v>1.0</c:v>
                </c:pt>
              </c:numCache>
            </c:numRef>
          </c:yVal>
          <c:smooth val="0"/>
        </c:ser>
        <c:dLbls>
          <c:showLegendKey val="0"/>
          <c:showVal val="0"/>
          <c:showCatName val="0"/>
          <c:showSerName val="0"/>
          <c:showPercent val="0"/>
          <c:showBubbleSize val="0"/>
        </c:dLbls>
        <c:axId val="111198600"/>
        <c:axId val="111192424"/>
      </c:scatterChart>
      <c:valAx>
        <c:axId val="111198600"/>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Link Distance (nm)</a:t>
                </a:r>
              </a:p>
            </c:rich>
          </c:tx>
          <c:layout>
            <c:manualLayout>
              <c:xMode val="edge"/>
              <c:yMode val="edge"/>
              <c:x val="0.326785714285715"/>
              <c:y val="0.71126760563380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1192424"/>
        <c:crossesAt val="-50.0"/>
        <c:crossBetween val="midCat"/>
      </c:valAx>
      <c:valAx>
        <c:axId val="111192424"/>
        <c:scaling>
          <c:orientation val="minMax"/>
          <c:max val="40.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HPA Power (dBm)</a:t>
                </a:r>
              </a:p>
            </c:rich>
          </c:tx>
          <c:layout>
            <c:manualLayout>
              <c:xMode val="edge"/>
              <c:yMode val="edge"/>
              <c:x val="0.0214285714285714"/>
              <c:y val="0.28521126760563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1198600"/>
        <c:crosses val="autoZero"/>
        <c:crossBetween val="midCat"/>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en-US"/>
              <a:t>HPA Power vs Link Distance
(Small Dish, 20Mbps, 2/3 16-QAM)</a:t>
            </a:r>
          </a:p>
        </c:rich>
      </c:tx>
      <c:layout>
        <c:manualLayout>
          <c:xMode val="edge"/>
          <c:yMode val="edge"/>
          <c:x val="0.29511744153"/>
          <c:y val="0.0353356890459364"/>
        </c:manualLayout>
      </c:layout>
      <c:overlay val="0"/>
      <c:spPr>
        <a:noFill/>
        <a:ln w="25400">
          <a:noFill/>
        </a:ln>
      </c:spPr>
    </c:title>
    <c:autoTitleDeleted val="0"/>
    <c:plotArea>
      <c:layout/>
      <c:scatterChart>
        <c:scatterStyle val="lineMarker"/>
        <c:varyColors val="0"/>
        <c:ser>
          <c:idx val="0"/>
          <c:order val="0"/>
          <c:tx>
            <c:strRef>
              <c:f>'TA -&gt; GS (SC-SOQPSK)'!#REF!</c:f>
              <c:strCache>
                <c:ptCount val="1"/>
                <c:pt idx="0">
                  <c:v>#REF!</c:v>
                </c:pt>
              </c:strCache>
            </c:strRef>
          </c:tx>
          <c:xVal>
            <c:numRef>
              <c:f>'TA -&gt; GS (SC-SOQPSK)'!#REF!</c:f>
              <c:numCache>
                <c:formatCode>General</c:formatCode>
                <c:ptCount val="1"/>
                <c:pt idx="0">
                  <c:v>1.0</c:v>
                </c:pt>
              </c:numCache>
            </c:numRef>
          </c:xVal>
          <c:yVal>
            <c:numRef>
              <c:f>'TA -&gt; GS (SC-SOQPSK)'!#REF!</c:f>
              <c:numCache>
                <c:formatCode>General</c:formatCode>
                <c:ptCount val="1"/>
                <c:pt idx="0">
                  <c:v>1.0</c:v>
                </c:pt>
              </c:numCache>
            </c:numRef>
          </c:yVal>
          <c:smooth val="0"/>
        </c:ser>
        <c:dLbls>
          <c:showLegendKey val="0"/>
          <c:showVal val="0"/>
          <c:showCatName val="0"/>
          <c:showSerName val="0"/>
          <c:showPercent val="0"/>
          <c:showBubbleSize val="0"/>
        </c:dLbls>
        <c:axId val="591178840"/>
        <c:axId val="591185064"/>
      </c:scatterChart>
      <c:valAx>
        <c:axId val="591178840"/>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Link Distance (km)</a:t>
                </a:r>
              </a:p>
            </c:rich>
          </c:tx>
          <c:layout>
            <c:manualLayout>
              <c:xMode val="edge"/>
              <c:yMode val="edge"/>
              <c:x val="0.501062685635632"/>
              <c:y val="0.91872939910779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591185064"/>
        <c:crossesAt val="-50.0"/>
        <c:crossBetween val="midCat"/>
      </c:valAx>
      <c:valAx>
        <c:axId val="591185064"/>
        <c:scaling>
          <c:orientation val="minMax"/>
          <c:max val="40.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HPA Power (dBm)</a:t>
                </a:r>
              </a:p>
            </c:rich>
          </c:tx>
          <c:layout>
            <c:manualLayout>
              <c:xMode val="edge"/>
              <c:yMode val="edge"/>
              <c:x val="0.0318471337579618"/>
              <c:y val="0.38162618365283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591178840"/>
        <c:crosses val="autoZero"/>
        <c:crossBetween val="midCat"/>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b="1" i="0" u="none" strike="noStrike" baseline="0">
                <a:solidFill>
                  <a:srgbClr val="000000"/>
                </a:solidFill>
                <a:latin typeface="Arial"/>
                <a:ea typeface="Arial"/>
                <a:cs typeface="Arial"/>
              </a:defRPr>
            </a:pPr>
            <a:r>
              <a:rPr lang="en-US"/>
              <a:t>HPA Power vs Link Distance
(Large Dish, 14Mbps, 2/3 QPSK)</a:t>
            </a:r>
          </a:p>
        </c:rich>
      </c:tx>
      <c:layout>
        <c:manualLayout>
          <c:xMode val="edge"/>
          <c:yMode val="edge"/>
          <c:x val="0.315000524934383"/>
          <c:y val="0.0342679127725857"/>
        </c:manualLayout>
      </c:layout>
      <c:overlay val="0"/>
      <c:spPr>
        <a:noFill/>
        <a:ln w="25400">
          <a:noFill/>
        </a:ln>
      </c:spPr>
    </c:title>
    <c:autoTitleDeleted val="0"/>
    <c:plotArea>
      <c:layout/>
      <c:scatterChart>
        <c:scatterStyle val="lineMarker"/>
        <c:varyColors val="0"/>
        <c:ser>
          <c:idx val="0"/>
          <c:order val="0"/>
          <c:tx>
            <c:strRef>
              <c:f>'TA -&gt; GS (MC-QAM)'!#REF!</c:f>
              <c:strCache>
                <c:ptCount val="1"/>
                <c:pt idx="0">
                  <c:v>#REF!</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xVal>
            <c:numRef>
              <c:f>'TA -&gt; GS (MC-QAM)'!#REF!</c:f>
              <c:numCache>
                <c:formatCode>General</c:formatCode>
                <c:ptCount val="1"/>
                <c:pt idx="0">
                  <c:v>1.0</c:v>
                </c:pt>
              </c:numCache>
            </c:numRef>
          </c:xVal>
          <c:yVal>
            <c:numRef>
              <c:f>'TA -&gt; GS (MC-QAM)'!#REF!</c:f>
              <c:numCache>
                <c:formatCode>General</c:formatCode>
                <c:ptCount val="1"/>
                <c:pt idx="0">
                  <c:v>1.0</c:v>
                </c:pt>
              </c:numCache>
            </c:numRef>
          </c:yVal>
          <c:smooth val="0"/>
        </c:ser>
        <c:dLbls>
          <c:showLegendKey val="0"/>
          <c:showVal val="0"/>
          <c:showCatName val="0"/>
          <c:showSerName val="0"/>
          <c:showPercent val="0"/>
          <c:showBubbleSize val="0"/>
        </c:dLbls>
        <c:axId val="632392552"/>
        <c:axId val="632400360"/>
      </c:scatterChart>
      <c:valAx>
        <c:axId val="632392552"/>
        <c:scaling>
          <c:orientation val="minMax"/>
        </c:scaling>
        <c:delete val="0"/>
        <c:axPos val="b"/>
        <c:title>
          <c:tx>
            <c:rich>
              <a:bodyPr/>
              <a:lstStyle/>
              <a:p>
                <a:pPr>
                  <a:defRPr sz="850" b="1" i="0" u="none" strike="noStrike" baseline="0">
                    <a:solidFill>
                      <a:srgbClr val="000000"/>
                    </a:solidFill>
                    <a:latin typeface="Arial"/>
                    <a:ea typeface="Arial"/>
                    <a:cs typeface="Arial"/>
                  </a:defRPr>
                </a:pPr>
                <a:r>
                  <a:rPr lang="en-US"/>
                  <a:t>Link Distance (nm)</a:t>
                </a:r>
              </a:p>
            </c:rich>
          </c:tx>
          <c:layout>
            <c:manualLayout>
              <c:xMode val="edge"/>
              <c:yMode val="edge"/>
              <c:x val="0.443334033245845"/>
              <c:y val="0.88785308378508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632400360"/>
        <c:crossesAt val="-50.0"/>
        <c:crossBetween val="midCat"/>
      </c:valAx>
      <c:valAx>
        <c:axId val="632400360"/>
        <c:scaling>
          <c:orientation val="minMax"/>
          <c:max val="40.0"/>
        </c:scaling>
        <c:delete val="0"/>
        <c:axPos val="l"/>
        <c:majorGridlines>
          <c:spPr>
            <a:ln w="3175">
              <a:solidFill>
                <a:srgbClr val="000000"/>
              </a:solidFill>
              <a:prstDash val="solid"/>
            </a:ln>
          </c:spPr>
        </c:majorGridlines>
        <c:title>
          <c:tx>
            <c:rich>
              <a:bodyPr/>
              <a:lstStyle/>
              <a:p>
                <a:pPr>
                  <a:defRPr sz="850" b="1" i="0" u="none" strike="noStrike" baseline="0">
                    <a:solidFill>
                      <a:srgbClr val="000000"/>
                    </a:solidFill>
                    <a:latin typeface="Arial"/>
                    <a:ea typeface="Arial"/>
                    <a:cs typeface="Arial"/>
                  </a:defRPr>
                </a:pPr>
                <a:r>
                  <a:rPr lang="en-US"/>
                  <a:t>HPA Power (dBm)</a:t>
                </a:r>
              </a:p>
            </c:rich>
          </c:tx>
          <c:layout>
            <c:manualLayout>
              <c:xMode val="edge"/>
              <c:yMode val="edge"/>
              <c:x val="0.0266666666666667"/>
              <c:y val="0.36760222729168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632392552"/>
        <c:crosses val="autoZero"/>
        <c:crossBetween val="midCat"/>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1" i="0" u="none" strike="noStrike" baseline="0">
                <a:solidFill>
                  <a:srgbClr val="000000"/>
                </a:solidFill>
                <a:latin typeface="Arial"/>
                <a:ea typeface="Arial"/>
                <a:cs typeface="Arial"/>
              </a:defRPr>
            </a:pPr>
            <a:r>
              <a:rPr lang="en-US"/>
              <a:t>HPA Power vs Link Distance
(Small Dish, 14Mbps, 2/3 QPSK)</a:t>
            </a:r>
          </a:p>
        </c:rich>
      </c:tx>
      <c:layout>
        <c:manualLayout>
          <c:xMode val="edge"/>
          <c:yMode val="edge"/>
          <c:x val="0.332103321033211"/>
          <c:y val="0.0387323943661972"/>
        </c:manualLayout>
      </c:layout>
      <c:overlay val="0"/>
      <c:spPr>
        <a:noFill/>
        <a:ln w="25400">
          <a:noFill/>
        </a:ln>
      </c:spPr>
    </c:title>
    <c:autoTitleDeleted val="0"/>
    <c:plotArea>
      <c:layout/>
      <c:scatterChart>
        <c:scatterStyle val="lineMarker"/>
        <c:varyColors val="0"/>
        <c:ser>
          <c:idx val="0"/>
          <c:order val="0"/>
          <c:tx>
            <c:strRef>
              <c:f>'TA -&gt; GS (MC-QAM)'!#REF!</c:f>
              <c:strCache>
                <c:ptCount val="1"/>
                <c:pt idx="0">
                  <c:v>#REF!</c:v>
                </c:pt>
              </c:strCache>
            </c:strRef>
          </c:tx>
          <c:xVal>
            <c:numRef>
              <c:f>'TA -&gt; GS (MC-QAM)'!#REF!</c:f>
              <c:numCache>
                <c:formatCode>General</c:formatCode>
                <c:ptCount val="1"/>
                <c:pt idx="0">
                  <c:v>1.0</c:v>
                </c:pt>
              </c:numCache>
            </c:numRef>
          </c:xVal>
          <c:yVal>
            <c:numRef>
              <c:f>'TA -&gt; GS (MC-QAM)'!#REF!</c:f>
              <c:numCache>
                <c:formatCode>General</c:formatCode>
                <c:ptCount val="1"/>
                <c:pt idx="0">
                  <c:v>1.0</c:v>
                </c:pt>
              </c:numCache>
            </c:numRef>
          </c:yVal>
          <c:smooth val="0"/>
        </c:ser>
        <c:dLbls>
          <c:showLegendKey val="0"/>
          <c:showVal val="0"/>
          <c:showCatName val="0"/>
          <c:showSerName val="0"/>
          <c:showPercent val="0"/>
          <c:showBubbleSize val="0"/>
        </c:dLbls>
        <c:axId val="632433832"/>
        <c:axId val="632440056"/>
      </c:scatterChart>
      <c:valAx>
        <c:axId val="632433832"/>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Link Distance (nm)</a:t>
                </a:r>
              </a:p>
            </c:rich>
          </c:tx>
          <c:layout>
            <c:manualLayout>
              <c:xMode val="edge"/>
              <c:yMode val="edge"/>
              <c:x val="0.343173431734317"/>
              <c:y val="0.71126760563380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32440056"/>
        <c:crossesAt val="-50.0"/>
        <c:crossBetween val="midCat"/>
      </c:valAx>
      <c:valAx>
        <c:axId val="632440056"/>
        <c:scaling>
          <c:orientation val="minMax"/>
          <c:max val="40.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HPA Power (dBm)</a:t>
                </a:r>
              </a:p>
            </c:rich>
          </c:tx>
          <c:layout>
            <c:manualLayout>
              <c:xMode val="edge"/>
              <c:yMode val="edge"/>
              <c:x val="0.022140221402214"/>
              <c:y val="0.2816901408450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32433832"/>
        <c:crosses val="autoZero"/>
        <c:crossBetween val="midCat"/>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HPA Power vs Link Distance
(Small Dish, 20Mbps, 2/3 16-QAM)</a:t>
            </a:r>
          </a:p>
        </c:rich>
      </c:tx>
      <c:layout>
        <c:manualLayout>
          <c:xMode val="edge"/>
          <c:yMode val="edge"/>
          <c:x val="0.290909090909091"/>
          <c:y val="0.0353356890459364"/>
        </c:manualLayout>
      </c:layout>
      <c:overlay val="0"/>
      <c:spPr>
        <a:noFill/>
        <a:ln w="25400">
          <a:noFill/>
        </a:ln>
      </c:spPr>
    </c:title>
    <c:autoTitleDeleted val="0"/>
    <c:plotArea>
      <c:layout/>
      <c:scatterChart>
        <c:scatterStyle val="lineMarker"/>
        <c:varyColors val="0"/>
        <c:ser>
          <c:idx val="0"/>
          <c:order val="0"/>
          <c:tx>
            <c:strRef>
              <c:f>'TA -&gt; GS (MC-QAM)'!#REF!</c:f>
              <c:strCache>
                <c:ptCount val="1"/>
                <c:pt idx="0">
                  <c:v>#REF!</c:v>
                </c:pt>
              </c:strCache>
            </c:strRef>
          </c:tx>
          <c:xVal>
            <c:numRef>
              <c:f>'TA -&gt; GS (MC-QAM)'!#REF!</c:f>
              <c:numCache>
                <c:formatCode>General</c:formatCode>
                <c:ptCount val="1"/>
                <c:pt idx="0">
                  <c:v>1.0</c:v>
                </c:pt>
              </c:numCache>
            </c:numRef>
          </c:xVal>
          <c:yVal>
            <c:numRef>
              <c:f>'TA -&gt; GS (MC-QAM)'!#REF!</c:f>
              <c:numCache>
                <c:formatCode>General</c:formatCode>
                <c:ptCount val="1"/>
                <c:pt idx="0">
                  <c:v>1.0</c:v>
                </c:pt>
              </c:numCache>
            </c:numRef>
          </c:yVal>
          <c:smooth val="0"/>
        </c:ser>
        <c:dLbls>
          <c:showLegendKey val="0"/>
          <c:showVal val="0"/>
          <c:showCatName val="0"/>
          <c:showSerName val="0"/>
          <c:showPercent val="0"/>
          <c:showBubbleSize val="0"/>
        </c:dLbls>
        <c:axId val="632480808"/>
        <c:axId val="632487032"/>
      </c:scatterChart>
      <c:valAx>
        <c:axId val="632480808"/>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Link Distance (km)</a:t>
                </a:r>
              </a:p>
            </c:rich>
          </c:tx>
          <c:layout>
            <c:manualLayout>
              <c:xMode val="edge"/>
              <c:yMode val="edge"/>
              <c:x val="0.538636363636364"/>
              <c:y val="0.91872939910779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32487032"/>
        <c:crossesAt val="-50.0"/>
        <c:crossBetween val="midCat"/>
      </c:valAx>
      <c:valAx>
        <c:axId val="632487032"/>
        <c:scaling>
          <c:orientation val="minMax"/>
          <c:max val="40.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HPA Power (dBm)</a:t>
                </a:r>
              </a:p>
            </c:rich>
          </c:tx>
          <c:layout>
            <c:manualLayout>
              <c:xMode val="edge"/>
              <c:yMode val="edge"/>
              <c:x val="0.0340909090909091"/>
              <c:y val="0.38162618365283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32480808"/>
        <c:crosses val="autoZero"/>
        <c:crossBetween val="midCat"/>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b="1" i="0" u="none" strike="noStrike" baseline="0">
                <a:solidFill>
                  <a:srgbClr val="000000"/>
                </a:solidFill>
                <a:latin typeface="Arial"/>
                <a:ea typeface="Arial"/>
                <a:cs typeface="Arial"/>
              </a:defRPr>
            </a:pPr>
            <a:r>
              <a:rPr lang="en-US"/>
              <a:t>HPA Power vs Link Distance
(Large Dish, 14Mbps, 2/3 QPSK)</a:t>
            </a:r>
          </a:p>
        </c:rich>
      </c:tx>
      <c:layout>
        <c:manualLayout>
          <c:xMode val="edge"/>
          <c:yMode val="edge"/>
          <c:x val="0.321486437781707"/>
          <c:y val="0.0342679127725857"/>
        </c:manualLayout>
      </c:layout>
      <c:overlay val="0"/>
      <c:spPr>
        <a:noFill/>
        <a:ln w="25400">
          <a:noFill/>
        </a:ln>
      </c:spPr>
    </c:title>
    <c:autoTitleDeleted val="0"/>
    <c:plotArea>
      <c:layout/>
      <c:scatterChart>
        <c:scatterStyle val="lineMarker"/>
        <c:varyColors val="0"/>
        <c:ser>
          <c:idx val="0"/>
          <c:order val="0"/>
          <c:tx>
            <c:strRef>
              <c:f>'TA -&gt; GS (MC-QPSK)'!#REF!</c:f>
              <c:strCache>
                <c:ptCount val="1"/>
                <c:pt idx="0">
                  <c:v>#REF!</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xVal>
            <c:numRef>
              <c:f>'TA -&gt; GS (MC-QPSK)'!#REF!</c:f>
              <c:numCache>
                <c:formatCode>General</c:formatCode>
                <c:ptCount val="1"/>
                <c:pt idx="0">
                  <c:v>1.0</c:v>
                </c:pt>
              </c:numCache>
            </c:numRef>
          </c:xVal>
          <c:yVal>
            <c:numRef>
              <c:f>'TA -&gt; GS (MC-QPSK)'!#REF!</c:f>
              <c:numCache>
                <c:formatCode>General</c:formatCode>
                <c:ptCount val="1"/>
                <c:pt idx="0">
                  <c:v>1.0</c:v>
                </c:pt>
              </c:numCache>
            </c:numRef>
          </c:yVal>
          <c:smooth val="0"/>
        </c:ser>
        <c:dLbls>
          <c:showLegendKey val="0"/>
          <c:showVal val="0"/>
          <c:showCatName val="0"/>
          <c:showSerName val="0"/>
          <c:showPercent val="0"/>
          <c:showBubbleSize val="0"/>
        </c:dLbls>
        <c:axId val="632560072"/>
        <c:axId val="632567896"/>
      </c:scatterChart>
      <c:valAx>
        <c:axId val="632560072"/>
        <c:scaling>
          <c:orientation val="minMax"/>
        </c:scaling>
        <c:delete val="0"/>
        <c:axPos val="b"/>
        <c:title>
          <c:tx>
            <c:rich>
              <a:bodyPr/>
              <a:lstStyle/>
              <a:p>
                <a:pPr>
                  <a:defRPr sz="875" b="1" i="0" u="none" strike="noStrike" baseline="0">
                    <a:solidFill>
                      <a:srgbClr val="000000"/>
                    </a:solidFill>
                    <a:latin typeface="Arial"/>
                    <a:ea typeface="Arial"/>
                    <a:cs typeface="Arial"/>
                  </a:defRPr>
                </a:pPr>
                <a:r>
                  <a:rPr lang="en-US"/>
                  <a:t>Link Distance (nm)</a:t>
                </a:r>
              </a:p>
            </c:rich>
          </c:tx>
          <c:layout>
            <c:manualLayout>
              <c:xMode val="edge"/>
              <c:yMode val="edge"/>
              <c:x val="0.444265282671653"/>
              <c:y val="0.8847378189875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632567896"/>
        <c:crossesAt val="-50.0"/>
        <c:crossBetween val="midCat"/>
      </c:valAx>
      <c:valAx>
        <c:axId val="632567896"/>
        <c:scaling>
          <c:orientation val="minMax"/>
          <c:max val="40.0"/>
        </c:scaling>
        <c:delete val="0"/>
        <c:axPos val="l"/>
        <c:majorGridlines>
          <c:spPr>
            <a:ln w="3175">
              <a:solidFill>
                <a:srgbClr val="000000"/>
              </a:solidFill>
              <a:prstDash val="solid"/>
            </a:ln>
          </c:spPr>
        </c:majorGridlines>
        <c:title>
          <c:tx>
            <c:rich>
              <a:bodyPr/>
              <a:lstStyle/>
              <a:p>
                <a:pPr>
                  <a:defRPr sz="875" b="1" i="0" u="none" strike="noStrike" baseline="0">
                    <a:solidFill>
                      <a:srgbClr val="000000"/>
                    </a:solidFill>
                    <a:latin typeface="Arial"/>
                    <a:ea typeface="Arial"/>
                    <a:cs typeface="Arial"/>
                  </a:defRPr>
                </a:pPr>
                <a:r>
                  <a:rPr lang="en-US"/>
                  <a:t>HPA Power (dBm)</a:t>
                </a:r>
              </a:p>
            </c:rich>
          </c:tx>
          <c:layout>
            <c:manualLayout>
              <c:xMode val="edge"/>
              <c:yMode val="edge"/>
              <c:x val="0.0258481421647819"/>
              <c:y val="0.35825643289915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632560072"/>
        <c:crosses val="autoZero"/>
        <c:crossBetween val="midCat"/>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1" i="0" u="none" strike="noStrike" baseline="0">
                <a:solidFill>
                  <a:srgbClr val="000000"/>
                </a:solidFill>
                <a:latin typeface="Arial"/>
                <a:ea typeface="Arial"/>
                <a:cs typeface="Arial"/>
              </a:defRPr>
            </a:pPr>
            <a:r>
              <a:rPr lang="en-US"/>
              <a:t>HPA Power vs Link Distance
(Small Dish, 14Mbps, 2/3 QPSK)</a:t>
            </a:r>
          </a:p>
        </c:rich>
      </c:tx>
      <c:layout>
        <c:manualLayout>
          <c:xMode val="edge"/>
          <c:yMode val="edge"/>
          <c:x val="0.338681488343369"/>
          <c:y val="0.0387323943661972"/>
        </c:manualLayout>
      </c:layout>
      <c:overlay val="0"/>
      <c:spPr>
        <a:noFill/>
        <a:ln w="25400">
          <a:noFill/>
        </a:ln>
      </c:spPr>
    </c:title>
    <c:autoTitleDeleted val="0"/>
    <c:plotArea>
      <c:layout/>
      <c:scatterChart>
        <c:scatterStyle val="lineMarker"/>
        <c:varyColors val="0"/>
        <c:ser>
          <c:idx val="0"/>
          <c:order val="0"/>
          <c:tx>
            <c:strRef>
              <c:f>'TA -&gt; GS (MC-QPSK)'!#REF!</c:f>
              <c:strCache>
                <c:ptCount val="1"/>
                <c:pt idx="0">
                  <c:v>#REF!</c:v>
                </c:pt>
              </c:strCache>
            </c:strRef>
          </c:tx>
          <c:xVal>
            <c:numRef>
              <c:f>'TA -&gt; GS (MC-QPSK)'!#REF!</c:f>
              <c:numCache>
                <c:formatCode>General</c:formatCode>
                <c:ptCount val="1"/>
                <c:pt idx="0">
                  <c:v>1.0</c:v>
                </c:pt>
              </c:numCache>
            </c:numRef>
          </c:xVal>
          <c:yVal>
            <c:numRef>
              <c:f>'TA -&gt; GS (MC-QPSK)'!#REF!</c:f>
              <c:numCache>
                <c:formatCode>General</c:formatCode>
                <c:ptCount val="1"/>
                <c:pt idx="0">
                  <c:v>1.0</c:v>
                </c:pt>
              </c:numCache>
            </c:numRef>
          </c:yVal>
          <c:smooth val="0"/>
        </c:ser>
        <c:dLbls>
          <c:showLegendKey val="0"/>
          <c:showVal val="0"/>
          <c:showCatName val="0"/>
          <c:showSerName val="0"/>
          <c:showPercent val="0"/>
          <c:showBubbleSize val="0"/>
        </c:dLbls>
        <c:axId val="632601368"/>
        <c:axId val="632607592"/>
      </c:scatterChart>
      <c:valAx>
        <c:axId val="632601368"/>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Link Distance (nm)</a:t>
                </a:r>
              </a:p>
            </c:rich>
          </c:tx>
          <c:layout>
            <c:manualLayout>
              <c:xMode val="edge"/>
              <c:yMode val="edge"/>
              <c:x val="0.333333894760481"/>
              <c:y val="0.71126760563380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32607592"/>
        <c:crossesAt val="-50.0"/>
        <c:crossBetween val="midCat"/>
      </c:valAx>
      <c:valAx>
        <c:axId val="632607592"/>
        <c:scaling>
          <c:orientation val="minMax"/>
          <c:max val="40.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HPA Power (dBm)</a:t>
                </a:r>
              </a:p>
            </c:rich>
          </c:tx>
          <c:layout>
            <c:manualLayout>
              <c:xMode val="edge"/>
              <c:yMode val="edge"/>
              <c:x val="0.0213903743315508"/>
              <c:y val="0.2816901408450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32601368"/>
        <c:crosses val="autoZero"/>
        <c:crossBetween val="midCat"/>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25" b="1" i="0" u="none" strike="noStrike" baseline="0">
                <a:solidFill>
                  <a:srgbClr val="000000"/>
                </a:solidFill>
                <a:latin typeface="Arial"/>
                <a:ea typeface="Arial"/>
                <a:cs typeface="Arial"/>
              </a:defRPr>
            </a:pPr>
            <a:r>
              <a:rPr lang="en-US"/>
              <a:t>HPA Power vs Link Distance
(Small Dish, 20Mbps, 2/3 16-QAM)</a:t>
            </a:r>
          </a:p>
        </c:rich>
      </c:tx>
      <c:layout>
        <c:manualLayout>
          <c:xMode val="edge"/>
          <c:yMode val="edge"/>
          <c:x val="0.298013940310442"/>
          <c:y val="0.0353356890459364"/>
        </c:manualLayout>
      </c:layout>
      <c:overlay val="0"/>
      <c:spPr>
        <a:noFill/>
        <a:ln w="25400">
          <a:noFill/>
        </a:ln>
      </c:spPr>
    </c:title>
    <c:autoTitleDeleted val="0"/>
    <c:plotArea>
      <c:layout/>
      <c:scatterChart>
        <c:scatterStyle val="lineMarker"/>
        <c:varyColors val="0"/>
        <c:ser>
          <c:idx val="0"/>
          <c:order val="0"/>
          <c:tx>
            <c:strRef>
              <c:f>'TA -&gt; GS (MC-QPSK)'!#REF!</c:f>
              <c:strCache>
                <c:ptCount val="1"/>
                <c:pt idx="0">
                  <c:v>#REF!</c:v>
                </c:pt>
              </c:strCache>
            </c:strRef>
          </c:tx>
          <c:xVal>
            <c:numRef>
              <c:f>'TA -&gt; GS (MC-QPSK)'!#REF!</c:f>
              <c:numCache>
                <c:formatCode>General</c:formatCode>
                <c:ptCount val="1"/>
                <c:pt idx="0">
                  <c:v>1.0</c:v>
                </c:pt>
              </c:numCache>
            </c:numRef>
          </c:xVal>
          <c:yVal>
            <c:numRef>
              <c:f>'TA -&gt; GS (MC-QPSK)'!#REF!</c:f>
              <c:numCache>
                <c:formatCode>General</c:formatCode>
                <c:ptCount val="1"/>
                <c:pt idx="0">
                  <c:v>1.0</c:v>
                </c:pt>
              </c:numCache>
            </c:numRef>
          </c:yVal>
          <c:smooth val="0"/>
        </c:ser>
        <c:dLbls>
          <c:showLegendKey val="0"/>
          <c:showVal val="0"/>
          <c:showCatName val="0"/>
          <c:showSerName val="0"/>
          <c:showPercent val="0"/>
          <c:showBubbleSize val="0"/>
        </c:dLbls>
        <c:axId val="632648280"/>
        <c:axId val="632654504"/>
      </c:scatterChart>
      <c:valAx>
        <c:axId val="632648280"/>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Link Distance (km)</a:t>
                </a:r>
              </a:p>
            </c:rich>
          </c:tx>
          <c:layout>
            <c:manualLayout>
              <c:xMode val="edge"/>
              <c:yMode val="edge"/>
              <c:x val="0.377484370745048"/>
              <c:y val="0.7102484627584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32654504"/>
        <c:crossesAt val="-50.0"/>
        <c:crossBetween val="midCat"/>
      </c:valAx>
      <c:valAx>
        <c:axId val="632654504"/>
        <c:scaling>
          <c:orientation val="minMax"/>
          <c:max val="40.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HPA Power (dBm)</a:t>
                </a:r>
              </a:p>
            </c:rich>
          </c:tx>
          <c:layout>
            <c:manualLayout>
              <c:xMode val="edge"/>
              <c:yMode val="edge"/>
              <c:x val="0.0264900662251656"/>
              <c:y val="0.28268588334585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632648280"/>
        <c:crosses val="autoZero"/>
        <c:crossBetween val="midCat"/>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4" Type="http://schemas.openxmlformats.org/officeDocument/2006/relationships/image" Target="../media/image4.png"/><Relationship Id="rId1" Type="http://schemas.openxmlformats.org/officeDocument/2006/relationships/image" Target="../media/image1.png"/><Relationship Id="rId2"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 Id="rId2" Type="http://schemas.openxmlformats.org/officeDocument/2006/relationships/chart" Target="../charts/chart5.xml"/><Relationship Id="rId3"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7.xml"/><Relationship Id="rId2" Type="http://schemas.openxmlformats.org/officeDocument/2006/relationships/chart" Target="../charts/chart8.xml"/><Relationship Id="rId3"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0</xdr:colOff>
      <xdr:row>53</xdr:row>
      <xdr:rowOff>0</xdr:rowOff>
    </xdr:from>
    <xdr:to>
      <xdr:col>7</xdr:col>
      <xdr:colOff>581025</xdr:colOff>
      <xdr:row>53</xdr:row>
      <xdr:rowOff>0</xdr:rowOff>
    </xdr:to>
    <xdr:graphicFrame macro="">
      <xdr:nvGraphicFramePr>
        <xdr:cNvPr id="1762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53</xdr:row>
      <xdr:rowOff>0</xdr:rowOff>
    </xdr:from>
    <xdr:to>
      <xdr:col>7</xdr:col>
      <xdr:colOff>9525</xdr:colOff>
      <xdr:row>53</xdr:row>
      <xdr:rowOff>0</xdr:rowOff>
    </xdr:to>
    <xdr:graphicFrame macro="">
      <xdr:nvGraphicFramePr>
        <xdr:cNvPr id="1762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53</xdr:row>
      <xdr:rowOff>0</xdr:rowOff>
    </xdr:from>
    <xdr:to>
      <xdr:col>7</xdr:col>
      <xdr:colOff>0</xdr:colOff>
      <xdr:row>53</xdr:row>
      <xdr:rowOff>0</xdr:rowOff>
    </xdr:to>
    <xdr:sp macro="" textlink="">
      <xdr:nvSpPr>
        <xdr:cNvPr id="17439" name="Text Box 3"/>
        <xdr:cNvSpPr txBox="1">
          <a:spLocks noChangeArrowheads="1"/>
        </xdr:cNvSpPr>
      </xdr:nvSpPr>
      <xdr:spPr bwMode="auto">
        <a:xfrm>
          <a:off x="5991225" y="8477250"/>
          <a:ext cx="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sz="900" b="1" i="0" u="none" strike="noStrike" baseline="0">
              <a:solidFill>
                <a:srgbClr val="000000"/>
              </a:solidFill>
              <a:latin typeface="Arial"/>
              <a:cs typeface="Arial"/>
            </a:rPr>
            <a:t>Multipath Availability = 76%</a:t>
          </a:r>
        </a:p>
        <a:p>
          <a:pPr algn="l" rtl="0">
            <a:defRPr sz="1000"/>
          </a:pPr>
          <a:r>
            <a:rPr lang="en-US" sz="900" b="1" i="0" u="none" strike="noStrike" baseline="0">
              <a:solidFill>
                <a:srgbClr val="000000"/>
              </a:solidFill>
              <a:latin typeface="Arial"/>
              <a:cs typeface="Arial"/>
            </a:rPr>
            <a:t>No Excess Link Margin</a:t>
          </a:r>
        </a:p>
      </xdr:txBody>
    </xdr:sp>
    <xdr:clientData/>
  </xdr:twoCellAnchor>
  <xdr:twoCellAnchor>
    <xdr:from>
      <xdr:col>7</xdr:col>
      <xdr:colOff>0</xdr:colOff>
      <xdr:row>53</xdr:row>
      <xdr:rowOff>0</xdr:rowOff>
    </xdr:from>
    <xdr:to>
      <xdr:col>7</xdr:col>
      <xdr:colOff>0</xdr:colOff>
      <xdr:row>53</xdr:row>
      <xdr:rowOff>0</xdr:rowOff>
    </xdr:to>
    <xdr:sp macro="" textlink="">
      <xdr:nvSpPr>
        <xdr:cNvPr id="17440" name="Text Box 4"/>
        <xdr:cNvSpPr txBox="1">
          <a:spLocks noChangeArrowheads="1"/>
        </xdr:cNvSpPr>
      </xdr:nvSpPr>
      <xdr:spPr bwMode="auto">
        <a:xfrm>
          <a:off x="5991225" y="8477250"/>
          <a:ext cx="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sz="900" b="1" i="0" u="none" strike="noStrike" baseline="0">
              <a:solidFill>
                <a:srgbClr val="000000"/>
              </a:solidFill>
              <a:latin typeface="Arial"/>
              <a:cs typeface="Arial"/>
            </a:rPr>
            <a:t>Multipath Availability = 76%</a:t>
          </a:r>
        </a:p>
        <a:p>
          <a:pPr algn="l" rtl="0">
            <a:defRPr sz="1000"/>
          </a:pPr>
          <a:r>
            <a:rPr lang="en-US" sz="900" b="1" i="0" u="none" strike="noStrike" baseline="0">
              <a:solidFill>
                <a:srgbClr val="000000"/>
              </a:solidFill>
              <a:latin typeface="Arial"/>
              <a:cs typeface="Arial"/>
            </a:rPr>
            <a:t>No Excess Link Margin</a:t>
          </a:r>
        </a:p>
      </xdr:txBody>
    </xdr:sp>
    <xdr:clientData/>
  </xdr:twoCellAnchor>
  <xdr:twoCellAnchor>
    <xdr:from>
      <xdr:col>7</xdr:col>
      <xdr:colOff>323850</xdr:colOff>
      <xdr:row>53</xdr:row>
      <xdr:rowOff>0</xdr:rowOff>
    </xdr:from>
    <xdr:to>
      <xdr:col>12</xdr:col>
      <xdr:colOff>314325</xdr:colOff>
      <xdr:row>53</xdr:row>
      <xdr:rowOff>0</xdr:rowOff>
    </xdr:to>
    <xdr:graphicFrame macro="">
      <xdr:nvGraphicFramePr>
        <xdr:cNvPr id="1762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1781175</xdr:colOff>
      <xdr:row>53</xdr:row>
      <xdr:rowOff>0</xdr:rowOff>
    </xdr:from>
    <xdr:to>
      <xdr:col>11</xdr:col>
      <xdr:colOff>9525</xdr:colOff>
      <xdr:row>53</xdr:row>
      <xdr:rowOff>0</xdr:rowOff>
    </xdr:to>
    <xdr:sp macro="" textlink="">
      <xdr:nvSpPr>
        <xdr:cNvPr id="17442" name="Text Box 6"/>
        <xdr:cNvSpPr txBox="1">
          <a:spLocks noChangeArrowheads="1"/>
        </xdr:cNvSpPr>
      </xdr:nvSpPr>
      <xdr:spPr bwMode="auto">
        <a:xfrm>
          <a:off x="7772400" y="8477250"/>
          <a:ext cx="235267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sz="900" b="1" i="0" u="none" strike="noStrike" baseline="0">
              <a:solidFill>
                <a:srgbClr val="000000"/>
              </a:solidFill>
              <a:latin typeface="Arial"/>
              <a:cs typeface="Arial"/>
            </a:rPr>
            <a:t>Multipath Availability = 76%</a:t>
          </a:r>
        </a:p>
        <a:p>
          <a:pPr algn="l" rtl="0">
            <a:defRPr sz="1000"/>
          </a:pPr>
          <a:r>
            <a:rPr lang="en-US" sz="900" b="1" i="0" u="none" strike="noStrike" baseline="0">
              <a:solidFill>
                <a:srgbClr val="000000"/>
              </a:solidFill>
              <a:latin typeface="Arial"/>
              <a:cs typeface="Arial"/>
            </a:rPr>
            <a:t>No Excess Link Margin</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119</xdr:row>
      <xdr:rowOff>28575</xdr:rowOff>
    </xdr:from>
    <xdr:to>
      <xdr:col>6</xdr:col>
      <xdr:colOff>1543050</xdr:colOff>
      <xdr:row>142</xdr:row>
      <xdr:rowOff>76200</xdr:rowOff>
    </xdr:to>
    <xdr:pic>
      <xdr:nvPicPr>
        <xdr:cNvPr id="9273" name="Picture 17"/>
        <xdr:cNvPicPr>
          <a:picLocks noChangeAspect="1" noChangeArrowheads="1"/>
        </xdr:cNvPicPr>
      </xdr:nvPicPr>
      <xdr:blipFill>
        <a:blip xmlns:r="http://schemas.openxmlformats.org/officeDocument/2006/relationships" r:embed="rId1" cstate="print"/>
        <a:srcRect/>
        <a:stretch>
          <a:fillRect/>
        </a:stretch>
      </xdr:blipFill>
      <xdr:spPr bwMode="auto">
        <a:xfrm>
          <a:off x="228600" y="19173825"/>
          <a:ext cx="6353175" cy="3771900"/>
        </a:xfrm>
        <a:prstGeom prst="rect">
          <a:avLst/>
        </a:prstGeom>
        <a:noFill/>
        <a:ln w="1">
          <a:noFill/>
          <a:miter lim="800000"/>
          <a:headEnd/>
          <a:tailEnd/>
        </a:ln>
      </xdr:spPr>
    </xdr:pic>
    <xdr:clientData/>
  </xdr:twoCellAnchor>
  <xdr:twoCellAnchor>
    <xdr:from>
      <xdr:col>7</xdr:col>
      <xdr:colOff>247650</xdr:colOff>
      <xdr:row>0</xdr:row>
      <xdr:rowOff>19050</xdr:rowOff>
    </xdr:from>
    <xdr:to>
      <xdr:col>18</xdr:col>
      <xdr:colOff>209550</xdr:colOff>
      <xdr:row>35</xdr:row>
      <xdr:rowOff>123825</xdr:rowOff>
    </xdr:to>
    <xdr:pic>
      <xdr:nvPicPr>
        <xdr:cNvPr id="9274" name="Picture 18" descr="SoqpskLdpc"/>
        <xdr:cNvPicPr>
          <a:picLocks noChangeAspect="1" noChangeArrowheads="1"/>
        </xdr:cNvPicPr>
      </xdr:nvPicPr>
      <xdr:blipFill>
        <a:blip xmlns:r="http://schemas.openxmlformats.org/officeDocument/2006/relationships" r:embed="rId2" cstate="print"/>
        <a:srcRect/>
        <a:stretch>
          <a:fillRect/>
        </a:stretch>
      </xdr:blipFill>
      <xdr:spPr bwMode="auto">
        <a:xfrm>
          <a:off x="7410450" y="19050"/>
          <a:ext cx="6667500" cy="5648325"/>
        </a:xfrm>
        <a:prstGeom prst="rect">
          <a:avLst/>
        </a:prstGeom>
        <a:noFill/>
        <a:ln w="9525">
          <a:noFill/>
          <a:miter lim="800000"/>
          <a:headEnd/>
          <a:tailEnd/>
        </a:ln>
      </xdr:spPr>
    </xdr:pic>
    <xdr:clientData/>
  </xdr:twoCellAnchor>
  <xdr:twoCellAnchor editAs="oneCell">
    <xdr:from>
      <xdr:col>7</xdr:col>
      <xdr:colOff>361950</xdr:colOff>
      <xdr:row>35</xdr:row>
      <xdr:rowOff>142875</xdr:rowOff>
    </xdr:from>
    <xdr:to>
      <xdr:col>17</xdr:col>
      <xdr:colOff>361950</xdr:colOff>
      <xdr:row>45</xdr:row>
      <xdr:rowOff>47625</xdr:rowOff>
    </xdr:to>
    <xdr:pic>
      <xdr:nvPicPr>
        <xdr:cNvPr id="9275" name="Picture 19"/>
        <xdr:cNvPicPr>
          <a:picLocks noChangeAspect="1" noChangeArrowheads="1"/>
        </xdr:cNvPicPr>
      </xdr:nvPicPr>
      <xdr:blipFill>
        <a:blip xmlns:r="http://schemas.openxmlformats.org/officeDocument/2006/relationships" r:embed="rId3" cstate="print"/>
        <a:srcRect/>
        <a:stretch>
          <a:fillRect/>
        </a:stretch>
      </xdr:blipFill>
      <xdr:spPr bwMode="auto">
        <a:xfrm>
          <a:off x="7524750" y="5686425"/>
          <a:ext cx="6096000" cy="1524000"/>
        </a:xfrm>
        <a:prstGeom prst="rect">
          <a:avLst/>
        </a:prstGeom>
        <a:noFill/>
        <a:ln w="1">
          <a:noFill/>
          <a:miter lim="800000"/>
          <a:headEnd/>
          <a:tailEnd/>
        </a:ln>
      </xdr:spPr>
    </xdr:pic>
    <xdr:clientData/>
  </xdr:twoCellAnchor>
  <xdr:twoCellAnchor editAs="oneCell">
    <xdr:from>
      <xdr:col>7</xdr:col>
      <xdr:colOff>285750</xdr:colOff>
      <xdr:row>45</xdr:row>
      <xdr:rowOff>85725</xdr:rowOff>
    </xdr:from>
    <xdr:to>
      <xdr:col>17</xdr:col>
      <xdr:colOff>438150</xdr:colOff>
      <xdr:row>58</xdr:row>
      <xdr:rowOff>76200</xdr:rowOff>
    </xdr:to>
    <xdr:pic>
      <xdr:nvPicPr>
        <xdr:cNvPr id="9276" name="Picture 20"/>
        <xdr:cNvPicPr>
          <a:picLocks noChangeAspect="1" noChangeArrowheads="1"/>
        </xdr:cNvPicPr>
      </xdr:nvPicPr>
      <xdr:blipFill>
        <a:blip xmlns:r="http://schemas.openxmlformats.org/officeDocument/2006/relationships" r:embed="rId4" cstate="print"/>
        <a:srcRect/>
        <a:stretch>
          <a:fillRect/>
        </a:stretch>
      </xdr:blipFill>
      <xdr:spPr bwMode="auto">
        <a:xfrm>
          <a:off x="7448550" y="7248525"/>
          <a:ext cx="6248400" cy="2095500"/>
        </a:xfrm>
        <a:prstGeom prst="rect">
          <a:avLst/>
        </a:prstGeom>
        <a:noFill/>
        <a:ln w="1">
          <a:noFill/>
          <a:miter lim="800000"/>
          <a:headEnd/>
          <a:tailEnd/>
        </a:ln>
      </xdr:spPr>
    </xdr:pic>
    <xdr:clientData/>
  </xdr:twoCellAnchor>
  <xdr:twoCellAnchor>
    <xdr:from>
      <xdr:col>11</xdr:col>
      <xdr:colOff>123825</xdr:colOff>
      <xdr:row>33</xdr:row>
      <xdr:rowOff>28575</xdr:rowOff>
    </xdr:from>
    <xdr:to>
      <xdr:col>12</xdr:col>
      <xdr:colOff>304800</xdr:colOff>
      <xdr:row>34</xdr:row>
      <xdr:rowOff>114300</xdr:rowOff>
    </xdr:to>
    <xdr:sp macro="" textlink="">
      <xdr:nvSpPr>
        <xdr:cNvPr id="9249" name="Text Box 33"/>
        <xdr:cNvSpPr txBox="1">
          <a:spLocks noChangeArrowheads="1"/>
        </xdr:cNvSpPr>
      </xdr:nvSpPr>
      <xdr:spPr bwMode="auto">
        <a:xfrm>
          <a:off x="9725025" y="5248275"/>
          <a:ext cx="790575" cy="247650"/>
        </a:xfrm>
        <a:prstGeom prst="rect">
          <a:avLst/>
        </a:prstGeom>
        <a:solidFill>
          <a:srgbClr val="FFFFFF"/>
        </a:solidFill>
        <a:ln w="9525">
          <a:noFill/>
          <a:miter lim="800000"/>
          <a:headEnd/>
          <a:tailEnd/>
        </a:ln>
      </xdr:spPr>
      <xdr:txBody>
        <a:bodyPr vertOverflow="clip" wrap="square" lIns="0" tIns="18288" rIns="27432" bIns="0" anchor="t" upright="1"/>
        <a:lstStyle/>
        <a:p>
          <a:pPr algn="r" rtl="0">
            <a:defRPr sz="1000"/>
          </a:pPr>
          <a:r>
            <a:rPr lang="en-US" sz="1000" b="1" i="0" u="none" strike="noStrike" baseline="0">
              <a:solidFill>
                <a:srgbClr val="000000"/>
              </a:solidFill>
              <a:latin typeface="Arial"/>
              <a:cs typeface="Arial"/>
            </a:rPr>
            <a:t>Uncoded</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54</xdr:row>
      <xdr:rowOff>0</xdr:rowOff>
    </xdr:from>
    <xdr:to>
      <xdr:col>7</xdr:col>
      <xdr:colOff>0</xdr:colOff>
      <xdr:row>54</xdr:row>
      <xdr:rowOff>0</xdr:rowOff>
    </xdr:to>
    <xdr:graphicFrame macro="">
      <xdr:nvGraphicFramePr>
        <xdr:cNvPr id="2475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54</xdr:row>
      <xdr:rowOff>0</xdr:rowOff>
    </xdr:from>
    <xdr:to>
      <xdr:col>7</xdr:col>
      <xdr:colOff>0</xdr:colOff>
      <xdr:row>54</xdr:row>
      <xdr:rowOff>0</xdr:rowOff>
    </xdr:to>
    <xdr:graphicFrame macro="">
      <xdr:nvGraphicFramePr>
        <xdr:cNvPr id="2475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53</xdr:row>
      <xdr:rowOff>161925</xdr:rowOff>
    </xdr:from>
    <xdr:to>
      <xdr:col>7</xdr:col>
      <xdr:colOff>0</xdr:colOff>
      <xdr:row>53</xdr:row>
      <xdr:rowOff>161925</xdr:rowOff>
    </xdr:to>
    <xdr:sp macro="" textlink="">
      <xdr:nvSpPr>
        <xdr:cNvPr id="24579" name="Text Box 3"/>
        <xdr:cNvSpPr txBox="1">
          <a:spLocks noChangeArrowheads="1"/>
        </xdr:cNvSpPr>
      </xdr:nvSpPr>
      <xdr:spPr bwMode="auto">
        <a:xfrm>
          <a:off x="12725400" y="8839200"/>
          <a:ext cx="2667000" cy="3238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sz="900" b="1" i="0" strike="noStrike">
              <a:solidFill>
                <a:srgbClr val="000000"/>
              </a:solidFill>
              <a:latin typeface="Arial"/>
              <a:cs typeface="Arial"/>
            </a:rPr>
            <a:t>Multipath Availability = 76%</a:t>
          </a:r>
        </a:p>
        <a:p>
          <a:pPr algn="l" rtl="0">
            <a:defRPr sz="1000"/>
          </a:pPr>
          <a:r>
            <a:rPr lang="en-US" sz="900" b="1" i="0" strike="noStrike">
              <a:solidFill>
                <a:srgbClr val="000000"/>
              </a:solidFill>
              <a:latin typeface="Arial"/>
              <a:cs typeface="Arial"/>
            </a:rPr>
            <a:t>No Excess Link Margin</a:t>
          </a:r>
        </a:p>
      </xdr:txBody>
    </xdr:sp>
    <xdr:clientData/>
  </xdr:twoCellAnchor>
  <xdr:twoCellAnchor>
    <xdr:from>
      <xdr:col>7</xdr:col>
      <xdr:colOff>0</xdr:colOff>
      <xdr:row>53</xdr:row>
      <xdr:rowOff>158750</xdr:rowOff>
    </xdr:from>
    <xdr:to>
      <xdr:col>7</xdr:col>
      <xdr:colOff>0</xdr:colOff>
      <xdr:row>53</xdr:row>
      <xdr:rowOff>158750</xdr:rowOff>
    </xdr:to>
    <xdr:sp macro="" textlink="">
      <xdr:nvSpPr>
        <xdr:cNvPr id="24580" name="Text Box 4"/>
        <xdr:cNvSpPr txBox="1">
          <a:spLocks noChangeArrowheads="1"/>
        </xdr:cNvSpPr>
      </xdr:nvSpPr>
      <xdr:spPr bwMode="auto">
        <a:xfrm>
          <a:off x="12630150" y="11582400"/>
          <a:ext cx="1943100" cy="3619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sz="900" b="1" i="0" strike="noStrike">
              <a:solidFill>
                <a:srgbClr val="000000"/>
              </a:solidFill>
              <a:latin typeface="Arial"/>
              <a:cs typeface="Arial"/>
            </a:rPr>
            <a:t>Multipath Availability = 76%</a:t>
          </a:r>
        </a:p>
        <a:p>
          <a:pPr algn="l" rtl="0">
            <a:defRPr sz="1000"/>
          </a:pPr>
          <a:r>
            <a:rPr lang="en-US" sz="900" b="1" i="0" strike="noStrike">
              <a:solidFill>
                <a:srgbClr val="000000"/>
              </a:solidFill>
              <a:latin typeface="Arial"/>
              <a:cs typeface="Arial"/>
            </a:rPr>
            <a:t>No Excess Link Margin</a:t>
          </a:r>
        </a:p>
      </xdr:txBody>
    </xdr:sp>
    <xdr:clientData/>
  </xdr:twoCellAnchor>
  <xdr:twoCellAnchor>
    <xdr:from>
      <xdr:col>7</xdr:col>
      <xdr:colOff>0</xdr:colOff>
      <xdr:row>54</xdr:row>
      <xdr:rowOff>0</xdr:rowOff>
    </xdr:from>
    <xdr:to>
      <xdr:col>7</xdr:col>
      <xdr:colOff>0</xdr:colOff>
      <xdr:row>54</xdr:row>
      <xdr:rowOff>0</xdr:rowOff>
    </xdr:to>
    <xdr:graphicFrame macro="">
      <xdr:nvGraphicFramePr>
        <xdr:cNvPr id="2475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54</xdr:row>
      <xdr:rowOff>0</xdr:rowOff>
    </xdr:from>
    <xdr:to>
      <xdr:col>7</xdr:col>
      <xdr:colOff>0</xdr:colOff>
      <xdr:row>54</xdr:row>
      <xdr:rowOff>0</xdr:rowOff>
    </xdr:to>
    <xdr:sp macro="" textlink="">
      <xdr:nvSpPr>
        <xdr:cNvPr id="24582" name="Text Box 6"/>
        <xdr:cNvSpPr txBox="1">
          <a:spLocks noChangeArrowheads="1"/>
        </xdr:cNvSpPr>
      </xdr:nvSpPr>
      <xdr:spPr bwMode="auto">
        <a:xfrm>
          <a:off x="18335625" y="11858625"/>
          <a:ext cx="1962150" cy="3429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sz="900" b="1" i="0" strike="noStrike">
              <a:solidFill>
                <a:srgbClr val="000000"/>
              </a:solidFill>
              <a:latin typeface="Arial"/>
              <a:cs typeface="Arial"/>
            </a:rPr>
            <a:t>Multipath Availability = 76%</a:t>
          </a:r>
        </a:p>
        <a:p>
          <a:pPr algn="l" rtl="0">
            <a:defRPr sz="1000"/>
          </a:pPr>
          <a:r>
            <a:rPr lang="en-US" sz="900" b="1" i="0" strike="noStrike">
              <a:solidFill>
                <a:srgbClr val="000000"/>
              </a:solidFill>
              <a:latin typeface="Arial"/>
              <a:cs typeface="Arial"/>
            </a:rPr>
            <a:t>No Excess Link Margin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53</xdr:row>
      <xdr:rowOff>0</xdr:rowOff>
    </xdr:from>
    <xdr:to>
      <xdr:col>7</xdr:col>
      <xdr:colOff>0</xdr:colOff>
      <xdr:row>53</xdr:row>
      <xdr:rowOff>0</xdr:rowOff>
    </xdr:to>
    <xdr:graphicFrame macro="">
      <xdr:nvGraphicFramePr>
        <xdr:cNvPr id="2271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53</xdr:row>
      <xdr:rowOff>0</xdr:rowOff>
    </xdr:from>
    <xdr:to>
      <xdr:col>7</xdr:col>
      <xdr:colOff>0</xdr:colOff>
      <xdr:row>53</xdr:row>
      <xdr:rowOff>0</xdr:rowOff>
    </xdr:to>
    <xdr:graphicFrame macro="">
      <xdr:nvGraphicFramePr>
        <xdr:cNvPr id="2271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53</xdr:row>
      <xdr:rowOff>0</xdr:rowOff>
    </xdr:from>
    <xdr:to>
      <xdr:col>7</xdr:col>
      <xdr:colOff>0</xdr:colOff>
      <xdr:row>53</xdr:row>
      <xdr:rowOff>0</xdr:rowOff>
    </xdr:to>
    <xdr:sp macro="" textlink="">
      <xdr:nvSpPr>
        <xdr:cNvPr id="22531" name="Text Box 3"/>
        <xdr:cNvSpPr txBox="1">
          <a:spLocks noChangeArrowheads="1"/>
        </xdr:cNvSpPr>
      </xdr:nvSpPr>
      <xdr:spPr bwMode="auto">
        <a:xfrm>
          <a:off x="12706350" y="8677275"/>
          <a:ext cx="2857500" cy="3238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sz="900" b="1" i="0" strike="noStrike">
              <a:solidFill>
                <a:srgbClr val="000000"/>
              </a:solidFill>
              <a:latin typeface="Arial"/>
              <a:cs typeface="Arial"/>
            </a:rPr>
            <a:t>Multipath Availability = 76%</a:t>
          </a:r>
        </a:p>
        <a:p>
          <a:pPr algn="l" rtl="0">
            <a:defRPr sz="1000"/>
          </a:pPr>
          <a:r>
            <a:rPr lang="en-US" sz="900" b="1" i="0" strike="noStrike">
              <a:solidFill>
                <a:srgbClr val="000000"/>
              </a:solidFill>
              <a:latin typeface="Arial"/>
              <a:cs typeface="Arial"/>
            </a:rPr>
            <a:t>No Excess Link Margin</a:t>
          </a:r>
        </a:p>
      </xdr:txBody>
    </xdr:sp>
    <xdr:clientData/>
  </xdr:twoCellAnchor>
  <xdr:twoCellAnchor>
    <xdr:from>
      <xdr:col>7</xdr:col>
      <xdr:colOff>0</xdr:colOff>
      <xdr:row>52</xdr:row>
      <xdr:rowOff>327025</xdr:rowOff>
    </xdr:from>
    <xdr:to>
      <xdr:col>7</xdr:col>
      <xdr:colOff>0</xdr:colOff>
      <xdr:row>52</xdr:row>
      <xdr:rowOff>327025</xdr:rowOff>
    </xdr:to>
    <xdr:sp macro="" textlink="">
      <xdr:nvSpPr>
        <xdr:cNvPr id="22532" name="Text Box 4"/>
        <xdr:cNvSpPr txBox="1">
          <a:spLocks noChangeArrowheads="1"/>
        </xdr:cNvSpPr>
      </xdr:nvSpPr>
      <xdr:spPr bwMode="auto">
        <a:xfrm>
          <a:off x="12611100" y="11420475"/>
          <a:ext cx="2133600" cy="36195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sz="900" b="1" i="0" strike="noStrike">
              <a:solidFill>
                <a:srgbClr val="000000"/>
              </a:solidFill>
              <a:latin typeface="Arial"/>
              <a:cs typeface="Arial"/>
            </a:rPr>
            <a:t>Multipath Availability = 76%</a:t>
          </a:r>
        </a:p>
        <a:p>
          <a:pPr algn="l" rtl="0">
            <a:defRPr sz="1000"/>
          </a:pPr>
          <a:r>
            <a:rPr lang="en-US" sz="900" b="1" i="0" strike="noStrike">
              <a:solidFill>
                <a:srgbClr val="000000"/>
              </a:solidFill>
              <a:latin typeface="Arial"/>
              <a:cs typeface="Arial"/>
            </a:rPr>
            <a:t>No Excess Link Margin</a:t>
          </a:r>
        </a:p>
      </xdr:txBody>
    </xdr:sp>
    <xdr:clientData/>
  </xdr:twoCellAnchor>
  <xdr:twoCellAnchor>
    <xdr:from>
      <xdr:col>7</xdr:col>
      <xdr:colOff>0</xdr:colOff>
      <xdr:row>53</xdr:row>
      <xdr:rowOff>0</xdr:rowOff>
    </xdr:from>
    <xdr:to>
      <xdr:col>7</xdr:col>
      <xdr:colOff>0</xdr:colOff>
      <xdr:row>53</xdr:row>
      <xdr:rowOff>0</xdr:rowOff>
    </xdr:to>
    <xdr:graphicFrame macro="">
      <xdr:nvGraphicFramePr>
        <xdr:cNvPr id="2271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53</xdr:row>
      <xdr:rowOff>3175</xdr:rowOff>
    </xdr:from>
    <xdr:to>
      <xdr:col>7</xdr:col>
      <xdr:colOff>0</xdr:colOff>
      <xdr:row>53</xdr:row>
      <xdr:rowOff>3175</xdr:rowOff>
    </xdr:to>
    <xdr:sp macro="" textlink="">
      <xdr:nvSpPr>
        <xdr:cNvPr id="22534" name="Text Box 6"/>
        <xdr:cNvSpPr txBox="1">
          <a:spLocks noChangeArrowheads="1"/>
        </xdr:cNvSpPr>
      </xdr:nvSpPr>
      <xdr:spPr bwMode="auto">
        <a:xfrm>
          <a:off x="18507075" y="11696700"/>
          <a:ext cx="2085975" cy="3429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sz="900" b="1" i="0" strike="noStrike">
              <a:solidFill>
                <a:srgbClr val="000000"/>
              </a:solidFill>
              <a:latin typeface="Arial"/>
              <a:cs typeface="Arial"/>
            </a:rPr>
            <a:t>Multipath Availability = 76%</a:t>
          </a:r>
        </a:p>
        <a:p>
          <a:pPr algn="l" rtl="0">
            <a:defRPr sz="1000"/>
          </a:pPr>
          <a:r>
            <a:rPr lang="en-US" sz="900" b="1" i="0" strike="noStrike">
              <a:solidFill>
                <a:srgbClr val="000000"/>
              </a:solidFill>
              <a:latin typeface="Arial"/>
              <a:cs typeface="Arial"/>
            </a:rPr>
            <a:t>No Excess Link Margin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tena-sda.org/Documents%20and%20Settings/sliang/Desktop/for%20gen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A -&gt; GS (QAM)"/>
      <sheetName val="TA -&gt; GS (QPSK)"/>
      <sheetName val="TA -&gt; GS (MC-QAM)"/>
      <sheetName val="TA -&gt; GS (MC-QPSK)"/>
      <sheetName val="TA -&gt; GS (SC-SOQPSK)"/>
      <sheetName val="TA-&gt;TA"/>
      <sheetName val="GS-&gt;TA"/>
      <sheetName val="DR &amp; overhead -SC (threshold)"/>
      <sheetName val="pwr &amp; resource mgt"/>
      <sheetName val="Req EbNo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45">
          <cell r="G45">
            <v>8330101.4599979501</v>
          </cell>
        </row>
      </sheetData>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 Id="rId2" Type="http://schemas.openxmlformats.org/officeDocument/2006/relationships/vmlDrawing" Target="../drawings/vmlDrawing8.vml"/><Relationship Id="rId3"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1" Type="http://schemas.openxmlformats.org/officeDocument/2006/relationships/vmlDrawing" Target="../drawings/vmlDrawing9.vml"/><Relationship Id="rId2"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1" Type="http://schemas.openxmlformats.org/officeDocument/2006/relationships/vmlDrawing" Target="../drawings/vmlDrawing10.vml"/><Relationship Id="rId2" Type="http://schemas.openxmlformats.org/officeDocument/2006/relationships/comments" Target="../comments1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2.vml"/><Relationship Id="rId3"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4.vml"/><Relationship Id="rId2"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 Id="rId2" Type="http://schemas.openxmlformats.org/officeDocument/2006/relationships/vmlDrawing" Target="../drawings/vmlDrawing5.vml"/><Relationship Id="rId3"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vmlDrawing" Target="../drawings/vmlDrawing6.vml"/><Relationship Id="rId2" Type="http://schemas.openxmlformats.org/officeDocument/2006/relationships/comments" Target="../comments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 Id="rId2" Type="http://schemas.openxmlformats.org/officeDocument/2006/relationships/vmlDrawing" Target="../drawings/vmlDrawing7.vml"/><Relationship Id="rId3"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M55"/>
  <sheetViews>
    <sheetView tabSelected="1" zoomScale="150" zoomScaleNormal="150" zoomScalePageLayoutView="150" workbookViewId="0">
      <selection activeCell="C20" sqref="C20"/>
    </sheetView>
  </sheetViews>
  <sheetFormatPr baseColWidth="10" defaultColWidth="8.83203125" defaultRowHeight="12" x14ac:dyDescent="0"/>
  <cols>
    <col min="1" max="1" width="8.83203125" style="60"/>
    <col min="2" max="2" width="35" style="60" customWidth="1"/>
    <col min="3" max="3" width="11.5" style="58" customWidth="1"/>
    <col min="4" max="4" width="56.33203125" style="60" customWidth="1"/>
    <col min="5" max="5" width="26.33203125" style="60" customWidth="1"/>
    <col min="6" max="6" width="12.6640625" style="60" customWidth="1"/>
    <col min="7" max="7" width="10" style="60" bestFit="1" customWidth="1"/>
    <col min="8" max="8" width="8.83203125" style="60"/>
    <col min="9" max="9" width="8.83203125" style="58"/>
    <col min="10" max="16384" width="8.83203125" style="60"/>
  </cols>
  <sheetData>
    <row r="1" spans="2:13">
      <c r="B1" s="102" t="s">
        <v>57</v>
      </c>
      <c r="C1" s="103">
        <f>2/3</f>
        <v>0.66666666666666663</v>
      </c>
    </row>
    <row r="2" spans="2:13">
      <c r="B2" s="102" t="s">
        <v>55</v>
      </c>
      <c r="C2" s="104">
        <v>5.2850000000000001</v>
      </c>
      <c r="D2" s="60" t="s">
        <v>56</v>
      </c>
      <c r="F2" s="58"/>
      <c r="G2" s="432"/>
      <c r="H2" s="432"/>
    </row>
    <row r="3" spans="2:13">
      <c r="F3" s="58"/>
      <c r="G3" s="58"/>
      <c r="H3" s="58"/>
    </row>
    <row r="4" spans="2:13" ht="13" thickBot="1">
      <c r="B4" s="60" t="s">
        <v>26</v>
      </c>
      <c r="F4" s="58"/>
      <c r="G4" s="143"/>
      <c r="H4" s="143"/>
      <c r="I4" s="143"/>
      <c r="M4" s="174"/>
    </row>
    <row r="5" spans="2:13">
      <c r="B5" s="133" t="s">
        <v>262</v>
      </c>
      <c r="C5" s="403">
        <f>9.3*10^6</f>
        <v>9300000</v>
      </c>
      <c r="D5" s="135" t="s">
        <v>184</v>
      </c>
      <c r="F5" s="58"/>
      <c r="G5" s="143"/>
      <c r="H5" s="143"/>
      <c r="I5" s="143"/>
    </row>
    <row r="6" spans="2:13">
      <c r="B6" s="136" t="s">
        <v>172</v>
      </c>
      <c r="C6" s="105">
        <f>C32</f>
        <v>0.68153644105909306</v>
      </c>
      <c r="D6" s="137"/>
      <c r="F6" s="58"/>
      <c r="G6" s="143"/>
      <c r="H6" s="143"/>
      <c r="I6" s="143"/>
    </row>
    <row r="7" spans="2:13">
      <c r="B7" s="138" t="s">
        <v>263</v>
      </c>
      <c r="C7" s="306">
        <f>C5/C6</f>
        <v>13645638.647799961</v>
      </c>
      <c r="D7" s="137" t="s">
        <v>51</v>
      </c>
      <c r="F7" s="58"/>
      <c r="G7" s="143"/>
      <c r="H7" s="143"/>
      <c r="I7" s="143"/>
    </row>
    <row r="8" spans="2:13">
      <c r="B8" s="138" t="s">
        <v>65</v>
      </c>
      <c r="C8" s="107">
        <f>(C2*10^-6)*('Req EbNo values'!G16/C7)</f>
        <v>9.7711317714565298E-8</v>
      </c>
      <c r="D8" s="137" t="s">
        <v>94</v>
      </c>
      <c r="E8" s="109"/>
      <c r="F8" s="58"/>
      <c r="G8" s="143"/>
      <c r="H8" s="143"/>
      <c r="I8" s="143"/>
    </row>
    <row r="9" spans="2:13">
      <c r="B9" s="138" t="s">
        <v>81</v>
      </c>
      <c r="C9" s="107">
        <f>1/C8</f>
        <v>10234228.985849971</v>
      </c>
      <c r="D9" s="137" t="s">
        <v>95</v>
      </c>
      <c r="E9" s="109"/>
      <c r="F9" s="58"/>
      <c r="G9" s="143"/>
      <c r="H9" s="143"/>
      <c r="I9" s="143"/>
    </row>
    <row r="10" spans="2:13">
      <c r="B10" s="138" t="s">
        <v>66</v>
      </c>
      <c r="C10" s="107">
        <f>0.78*C7/C1</f>
        <v>15965397.217925956</v>
      </c>
      <c r="D10" s="137" t="s">
        <v>99</v>
      </c>
      <c r="E10" s="148"/>
      <c r="F10" s="58"/>
      <c r="G10" s="143"/>
      <c r="H10" s="143"/>
      <c r="I10" s="143"/>
    </row>
    <row r="11" spans="2:13">
      <c r="B11" s="138"/>
      <c r="C11" s="107"/>
      <c r="D11" s="137"/>
      <c r="E11" s="148"/>
      <c r="F11" s="58"/>
      <c r="G11" s="143"/>
      <c r="H11" s="143"/>
      <c r="I11" s="143"/>
    </row>
    <row r="12" spans="2:13">
      <c r="B12" s="189" t="s">
        <v>268</v>
      </c>
      <c r="C12" s="101"/>
      <c r="D12" s="137"/>
      <c r="F12" s="58"/>
      <c r="G12" s="143"/>
      <c r="H12" s="143"/>
      <c r="I12" s="143"/>
    </row>
    <row r="13" spans="2:13">
      <c r="B13" s="138" t="s">
        <v>264</v>
      </c>
      <c r="C13" s="107">
        <f>C25/((1-C20)*(1-C15)*(1-C23)*(1-C24)*(1-C28)*(1-C27)*(1-C29)*(1-C30))</f>
        <v>13645638.647799961</v>
      </c>
      <c r="D13" s="139" t="s">
        <v>47</v>
      </c>
      <c r="F13" s="58"/>
      <c r="G13" s="143"/>
      <c r="H13" s="143"/>
      <c r="I13" s="143"/>
    </row>
    <row r="14" spans="2:13" ht="13.5" customHeight="1">
      <c r="B14" s="138" t="s">
        <v>43</v>
      </c>
      <c r="C14" s="130">
        <v>0.92400000000000004</v>
      </c>
      <c r="D14" s="139" t="s">
        <v>171</v>
      </c>
      <c r="F14" s="58"/>
      <c r="G14" s="143"/>
      <c r="H14" s="143"/>
      <c r="I14" s="143"/>
      <c r="M14" s="108"/>
    </row>
    <row r="15" spans="2:13" ht="15" customHeight="1">
      <c r="B15" s="138" t="s">
        <v>42</v>
      </c>
      <c r="C15" s="130">
        <f>1-0.92*C14</f>
        <v>0.14991999999999994</v>
      </c>
      <c r="D15" s="139" t="s">
        <v>44</v>
      </c>
      <c r="F15" s="58"/>
      <c r="G15" s="143"/>
      <c r="H15" s="143"/>
      <c r="I15" s="143"/>
    </row>
    <row r="16" spans="2:13">
      <c r="B16" s="138" t="s">
        <v>34</v>
      </c>
      <c r="C16" s="106">
        <v>0.05</v>
      </c>
      <c r="D16" s="139" t="s">
        <v>35</v>
      </c>
      <c r="F16" s="58"/>
      <c r="G16" s="143"/>
      <c r="H16" s="143"/>
      <c r="I16" s="143"/>
    </row>
    <row r="17" spans="2:10" ht="15">
      <c r="B17" s="138" t="s">
        <v>45</v>
      </c>
      <c r="C17" s="106">
        <v>4</v>
      </c>
      <c r="D17" s="139" t="s">
        <v>280</v>
      </c>
      <c r="F17" s="58"/>
      <c r="G17" s="143"/>
      <c r="H17" s="143"/>
      <c r="I17" s="143"/>
    </row>
    <row r="18" spans="2:10">
      <c r="B18" s="138" t="s">
        <v>235</v>
      </c>
      <c r="C18" s="106">
        <v>1</v>
      </c>
      <c r="D18" s="139" t="s">
        <v>236</v>
      </c>
      <c r="F18" s="58"/>
      <c r="G18" s="143"/>
      <c r="H18" s="143"/>
      <c r="I18" s="143"/>
    </row>
    <row r="19" spans="2:10" ht="23.25" customHeight="1">
      <c r="B19" s="138" t="s">
        <v>36</v>
      </c>
      <c r="C19" s="107">
        <f>'TA -&gt; GS (SC-SOQPSK)'!D11*1852/300000000</f>
        <v>9.2599999999999996E-4</v>
      </c>
      <c r="D19" s="139" t="s">
        <v>281</v>
      </c>
      <c r="E19" s="131"/>
      <c r="F19" s="58"/>
      <c r="G19" s="143"/>
      <c r="H19" s="143"/>
      <c r="I19" s="143"/>
    </row>
    <row r="20" spans="2:10" ht="22.5" customHeight="1">
      <c r="B20" s="138" t="s">
        <v>33</v>
      </c>
      <c r="C20" s="130">
        <f>0.001/C16</f>
        <v>0.02</v>
      </c>
      <c r="D20" s="139" t="s">
        <v>282</v>
      </c>
      <c r="E20" s="407">
        <f>(2*C19+C17*7*10^-6)/((2*C19+C17*7*10^-6)+C16)</f>
        <v>3.6237471087124128E-2</v>
      </c>
      <c r="F20" s="58"/>
      <c r="G20" s="143"/>
      <c r="H20" s="143"/>
      <c r="I20" s="143"/>
    </row>
    <row r="21" spans="2:10">
      <c r="B21" s="138" t="s">
        <v>31</v>
      </c>
      <c r="C21" s="106">
        <v>4096</v>
      </c>
      <c r="D21" s="139" t="s">
        <v>71</v>
      </c>
      <c r="F21" s="58"/>
      <c r="G21" s="143"/>
      <c r="H21" s="143"/>
      <c r="I21" s="143"/>
    </row>
    <row r="22" spans="2:10">
      <c r="B22" s="138" t="s">
        <v>32</v>
      </c>
      <c r="C22" s="187">
        <f>C21/1/C1</f>
        <v>6144</v>
      </c>
      <c r="D22" s="139"/>
      <c r="F22" s="58"/>
      <c r="G22" s="143"/>
      <c r="H22" s="143"/>
      <c r="I22" s="143"/>
    </row>
    <row r="23" spans="2:10">
      <c r="B23" s="138" t="s">
        <v>48</v>
      </c>
      <c r="C23" s="130">
        <f>C17*C21/(C17*C21+C5*C16)</f>
        <v>3.4035198510960069E-2</v>
      </c>
      <c r="D23" s="139"/>
      <c r="F23" s="58"/>
      <c r="G23" s="143"/>
      <c r="H23" s="143"/>
      <c r="I23" s="143"/>
    </row>
    <row r="24" spans="2:10">
      <c r="B24" s="138" t="s">
        <v>28</v>
      </c>
      <c r="C24" s="130">
        <f>(64+128)/(64+128+(C18*C21))</f>
        <v>4.4776119402985072E-2</v>
      </c>
      <c r="D24" s="139" t="s">
        <v>237</v>
      </c>
      <c r="F24" s="58"/>
      <c r="G24" s="143"/>
      <c r="H24" s="143"/>
      <c r="I24" s="143"/>
    </row>
    <row r="25" spans="2:10">
      <c r="B25" s="138" t="s">
        <v>265</v>
      </c>
      <c r="C25" s="107">
        <f>C31</f>
        <v>9300000</v>
      </c>
      <c r="D25" s="139"/>
      <c r="F25" s="390"/>
      <c r="G25" s="143"/>
      <c r="H25" s="143"/>
      <c r="I25" s="143"/>
    </row>
    <row r="26" spans="2:10">
      <c r="B26" s="138" t="s">
        <v>29</v>
      </c>
      <c r="C26" s="106">
        <f>1400*8</f>
        <v>11200</v>
      </c>
      <c r="D26" s="139" t="s">
        <v>30</v>
      </c>
      <c r="F26" s="58"/>
      <c r="G26" s="143"/>
      <c r="H26" s="143"/>
      <c r="I26" s="143"/>
      <c r="J26" s="112"/>
    </row>
    <row r="27" spans="2:10" ht="27.5" customHeight="1">
      <c r="B27" s="138" t="s">
        <v>101</v>
      </c>
      <c r="C27" s="130">
        <f>2/(2+256)+3*8/(3*8+C26)</f>
        <v>9.8902131092288396E-3</v>
      </c>
      <c r="D27" s="139" t="s">
        <v>102</v>
      </c>
      <c r="F27" s="58" t="s">
        <v>290</v>
      </c>
      <c r="G27" s="146"/>
      <c r="H27" s="58"/>
    </row>
    <row r="28" spans="2:10" ht="17" customHeight="1">
      <c r="B28" s="138" t="s">
        <v>186</v>
      </c>
      <c r="C28" s="130">
        <f>416/(416+C21)</f>
        <v>9.2198581560283682E-2</v>
      </c>
      <c r="D28" s="139" t="s">
        <v>188</v>
      </c>
      <c r="F28" s="58">
        <v>64</v>
      </c>
      <c r="G28" s="390"/>
      <c r="H28" s="58"/>
    </row>
    <row r="29" spans="2:10" ht="25.25" customHeight="1">
      <c r="B29" s="138" t="s">
        <v>187</v>
      </c>
      <c r="C29" s="382">
        <f>C17*(196608)/(C17*196608+(864000*C16*C5))</f>
        <v>1.957463312893797E-6</v>
      </c>
      <c r="D29" s="139" t="s">
        <v>189</v>
      </c>
      <c r="F29" s="58"/>
      <c r="G29" s="146"/>
      <c r="H29" s="58"/>
    </row>
    <row r="30" spans="2:10" ht="14" customHeight="1">
      <c r="B30" s="138" t="s">
        <v>233</v>
      </c>
      <c r="C30" s="188">
        <f>8*C17*200/(8*C17*200+(C16*C31))</f>
        <v>1.3576580398812049E-2</v>
      </c>
      <c r="D30" s="139" t="s">
        <v>234</v>
      </c>
      <c r="F30" s="58"/>
      <c r="G30" s="58"/>
      <c r="H30" s="58"/>
    </row>
    <row r="31" spans="2:10">
      <c r="B31" s="138" t="s">
        <v>266</v>
      </c>
      <c r="C31" s="106">
        <f>C5</f>
        <v>9300000</v>
      </c>
      <c r="D31" s="139"/>
      <c r="F31" s="58"/>
      <c r="G31" s="58"/>
      <c r="H31" s="58"/>
    </row>
    <row r="32" spans="2:10" ht="13" thickBot="1">
      <c r="B32" s="140" t="s">
        <v>182</v>
      </c>
      <c r="C32" s="141">
        <f>C31/C13</f>
        <v>0.68153644105909306</v>
      </c>
      <c r="D32" s="142"/>
    </row>
    <row r="33" spans="2:11" ht="13" hidden="1" thickTop="1">
      <c r="B33" s="115" t="s">
        <v>38</v>
      </c>
      <c r="C33" s="116">
        <f>130*8/C26</f>
        <v>9.285714285714286E-2</v>
      </c>
      <c r="D33" s="117" t="s">
        <v>39</v>
      </c>
    </row>
    <row r="34" spans="2:11" ht="13" hidden="1" thickTop="1">
      <c r="B34" s="118" t="s">
        <v>37</v>
      </c>
      <c r="C34" s="113">
        <v>0.5</v>
      </c>
      <c r="D34" s="119"/>
    </row>
    <row r="35" spans="2:11" ht="13" hidden="1" thickTop="1">
      <c r="B35" s="118" t="s">
        <v>40</v>
      </c>
      <c r="C35" s="110">
        <f>C31*(1-C33)*C34/4.4</f>
        <v>958685.06493506476</v>
      </c>
      <c r="D35" s="119" t="s">
        <v>47</v>
      </c>
      <c r="I35" s="147"/>
    </row>
    <row r="36" spans="2:11" ht="13" hidden="1" thickTop="1">
      <c r="B36" s="118" t="s">
        <v>41</v>
      </c>
      <c r="C36" s="110">
        <f>C31*(1-C33)/4.4</f>
        <v>1917370.1298701295</v>
      </c>
      <c r="D36" s="119" t="s">
        <v>47</v>
      </c>
      <c r="E36" s="109" t="s">
        <v>76</v>
      </c>
    </row>
    <row r="37" spans="2:11" ht="14" hidden="1" thickTop="1" thickBot="1">
      <c r="B37" s="120" t="s">
        <v>46</v>
      </c>
      <c r="C37" s="121">
        <f>4.4*C36/C13</f>
        <v>0.61825091438932001</v>
      </c>
      <c r="D37" s="122"/>
    </row>
    <row r="38" spans="2:11" ht="13" thickBot="1">
      <c r="E38" s="212" t="s">
        <v>142</v>
      </c>
    </row>
    <row r="39" spans="2:11">
      <c r="B39" s="380"/>
      <c r="C39" s="381"/>
      <c r="D39" s="380"/>
      <c r="E39" s="199" t="s">
        <v>104</v>
      </c>
      <c r="F39" s="200">
        <v>0.65</v>
      </c>
      <c r="G39" s="201"/>
      <c r="H39" s="445"/>
      <c r="I39" s="446"/>
      <c r="J39" s="446"/>
      <c r="K39" s="447"/>
    </row>
    <row r="40" spans="2:11">
      <c r="B40" s="380"/>
      <c r="C40" s="145"/>
      <c r="D40" s="380"/>
      <c r="E40" s="202" t="s">
        <v>103</v>
      </c>
      <c r="F40" s="203">
        <v>-20</v>
      </c>
      <c r="G40" s="204" t="s">
        <v>3</v>
      </c>
      <c r="H40" s="433" t="s">
        <v>105</v>
      </c>
      <c r="I40" s="434"/>
      <c r="J40" s="434"/>
      <c r="K40" s="435"/>
    </row>
    <row r="41" spans="2:11" ht="13" thickBot="1">
      <c r="B41" s="380"/>
      <c r="C41" s="195"/>
      <c r="D41" s="380"/>
      <c r="E41" s="205" t="s">
        <v>52</v>
      </c>
      <c r="F41" s="206">
        <f>C13/C1</f>
        <v>20468457.971699942</v>
      </c>
      <c r="G41" s="207" t="s">
        <v>47</v>
      </c>
      <c r="H41" s="442" t="s">
        <v>271</v>
      </c>
      <c r="I41" s="443"/>
      <c r="J41" s="443"/>
      <c r="K41" s="444"/>
    </row>
    <row r="42" spans="2:11">
      <c r="B42" s="380"/>
      <c r="C42" s="405"/>
      <c r="D42" s="380"/>
      <c r="E42" s="192" t="s">
        <v>53</v>
      </c>
      <c r="F42" s="208">
        <f>F41/'Req EbNo values'!D15</f>
        <v>10234228.985849971</v>
      </c>
      <c r="G42" s="193" t="s">
        <v>58</v>
      </c>
      <c r="H42" s="436" t="s">
        <v>272</v>
      </c>
      <c r="I42" s="437"/>
      <c r="J42" s="437"/>
      <c r="K42" s="438"/>
    </row>
    <row r="43" spans="2:11" ht="13" thickBot="1">
      <c r="B43" s="132"/>
      <c r="C43" s="145"/>
      <c r="D43" s="132"/>
      <c r="E43" s="209" t="s">
        <v>59</v>
      </c>
      <c r="F43" s="210">
        <f>F42*(2*F39*ASIN(1-2*10^(F40/10))/PI()+1)</f>
        <v>16038069.15655099</v>
      </c>
      <c r="G43" s="211" t="s">
        <v>14</v>
      </c>
      <c r="H43" s="439" t="s">
        <v>106</v>
      </c>
      <c r="I43" s="440"/>
      <c r="J43" s="440"/>
      <c r="K43" s="441"/>
    </row>
    <row r="44" spans="2:11">
      <c r="B44" s="132"/>
      <c r="C44" s="194"/>
      <c r="D44" s="132"/>
      <c r="E44" s="132"/>
      <c r="F44" s="198"/>
      <c r="G44" s="132"/>
      <c r="H44" s="132"/>
      <c r="I44" s="132"/>
      <c r="J44" s="132"/>
      <c r="K44" s="132"/>
    </row>
    <row r="45" spans="2:11">
      <c r="B45" s="132"/>
      <c r="C45" s="195"/>
      <c r="D45" s="132"/>
      <c r="E45" s="280"/>
      <c r="F45" s="196"/>
      <c r="G45" s="196"/>
      <c r="H45" s="196"/>
      <c r="I45" s="281"/>
      <c r="J45" s="196"/>
      <c r="K45" s="196"/>
    </row>
    <row r="46" spans="2:11">
      <c r="B46" s="132"/>
      <c r="C46" s="124"/>
      <c r="D46" s="132"/>
      <c r="E46" s="18"/>
      <c r="F46" s="183"/>
      <c r="G46" s="18"/>
      <c r="H46" s="235"/>
      <c r="I46" s="235"/>
      <c r="J46" s="235"/>
      <c r="K46" s="235"/>
    </row>
    <row r="47" spans="2:11">
      <c r="B47" s="132"/>
      <c r="C47" s="59"/>
      <c r="D47" s="132"/>
      <c r="E47" s="18"/>
      <c r="F47" s="183"/>
      <c r="G47" s="18"/>
      <c r="H47" s="235"/>
      <c r="I47" s="235"/>
      <c r="J47" s="235"/>
      <c r="K47" s="235"/>
    </row>
    <row r="48" spans="2:11">
      <c r="B48" s="132"/>
      <c r="C48" s="59"/>
      <c r="D48" s="132"/>
      <c r="E48" s="18"/>
      <c r="F48" s="282"/>
      <c r="G48" s="18"/>
      <c r="H48" s="235"/>
      <c r="I48" s="235"/>
      <c r="J48" s="235"/>
      <c r="K48" s="235"/>
    </row>
    <row r="49" spans="2:11">
      <c r="B49" s="132"/>
      <c r="C49" s="145"/>
      <c r="D49" s="132"/>
      <c r="E49" s="18"/>
      <c r="F49" s="282"/>
      <c r="G49" s="18"/>
      <c r="H49" s="235"/>
      <c r="I49" s="235"/>
      <c r="J49" s="235"/>
      <c r="K49" s="235"/>
    </row>
    <row r="50" spans="2:11">
      <c r="B50" s="132"/>
      <c r="C50" s="194"/>
      <c r="D50" s="132"/>
      <c r="E50" s="18"/>
      <c r="F50" s="283"/>
      <c r="G50" s="18"/>
      <c r="H50" s="235"/>
      <c r="I50" s="235"/>
      <c r="J50" s="235"/>
      <c r="K50" s="235"/>
    </row>
    <row r="51" spans="2:11">
      <c r="B51" s="132"/>
      <c r="C51" s="124"/>
      <c r="D51" s="132"/>
      <c r="E51" s="196"/>
      <c r="F51" s="196"/>
      <c r="G51" s="196"/>
      <c r="H51" s="196"/>
      <c r="I51" s="281"/>
      <c r="J51" s="196"/>
      <c r="K51" s="196"/>
    </row>
    <row r="52" spans="2:11">
      <c r="B52" s="132"/>
      <c r="C52" s="145"/>
      <c r="D52" s="132"/>
    </row>
    <row r="53" spans="2:11">
      <c r="B53" s="132"/>
      <c r="C53" s="194"/>
      <c r="D53" s="132"/>
    </row>
    <row r="54" spans="2:11">
      <c r="B54" s="132"/>
      <c r="C54" s="124"/>
      <c r="D54" s="132"/>
    </row>
    <row r="55" spans="2:11">
      <c r="B55" s="132"/>
      <c r="C55" s="59"/>
      <c r="D55" s="132"/>
    </row>
  </sheetData>
  <mergeCells count="6">
    <mergeCell ref="G2:H2"/>
    <mergeCell ref="H40:K40"/>
    <mergeCell ref="H42:K42"/>
    <mergeCell ref="H43:K43"/>
    <mergeCell ref="H41:K41"/>
    <mergeCell ref="H39:K39"/>
  </mergeCells>
  <phoneticPr fontId="2" type="noConversion"/>
  <pageMargins left="0.75" right="0.75" top="1" bottom="1" header="0.5" footer="0.5"/>
  <pageSetup orientation="portrait"/>
  <headerFooter alignWithMargins="0"/>
  <legacy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104"/>
  <sheetViews>
    <sheetView zoomScale="75" workbookViewId="0">
      <selection activeCell="D10" sqref="D10"/>
    </sheetView>
  </sheetViews>
  <sheetFormatPr baseColWidth="10" defaultColWidth="8.83203125" defaultRowHeight="12" x14ac:dyDescent="0"/>
  <cols>
    <col min="1" max="1" width="29.33203125" customWidth="1"/>
    <col min="2" max="2" width="22.1640625" customWidth="1"/>
    <col min="3" max="3" width="9.6640625" hidden="1" customWidth="1"/>
    <col min="4" max="4" width="9.6640625" customWidth="1"/>
    <col min="5" max="5" width="8.6640625" customWidth="1"/>
    <col min="6" max="6" width="7.6640625" customWidth="1"/>
    <col min="7" max="7" width="8.1640625" customWidth="1"/>
  </cols>
  <sheetData>
    <row r="2" spans="1:7" ht="13" thickBot="1">
      <c r="A2" t="s">
        <v>128</v>
      </c>
      <c r="B2" s="29"/>
    </row>
    <row r="3" spans="1:7">
      <c r="A3" s="89"/>
      <c r="B3" s="90"/>
      <c r="C3" s="91" t="s">
        <v>79</v>
      </c>
      <c r="D3" s="154" t="s">
        <v>80</v>
      </c>
      <c r="E3" s="92"/>
      <c r="F3" s="19"/>
    </row>
    <row r="4" spans="1:7">
      <c r="A4" s="88" t="s">
        <v>0</v>
      </c>
      <c r="B4" s="54"/>
      <c r="C4" s="86">
        <f>B6+10*LOG10(B5)</f>
        <v>-0.22878745280337576</v>
      </c>
      <c r="D4" s="213">
        <f>B6-B7+10*LOG10(B5)</f>
        <v>-3.7287874528033758</v>
      </c>
      <c r="E4" s="87" t="s">
        <v>1</v>
      </c>
      <c r="F4" s="18"/>
    </row>
    <row r="5" spans="1:7">
      <c r="A5" s="11" t="s">
        <v>129</v>
      </c>
      <c r="B5" s="49">
        <v>3</v>
      </c>
      <c r="C5" s="13"/>
      <c r="D5" s="156"/>
      <c r="E5" s="14" t="s">
        <v>10</v>
      </c>
      <c r="F5" s="18"/>
      <c r="G5" s="48">
        <f>10*LOG(B5*1000)</f>
        <v>34.771212547196626</v>
      </c>
    </row>
    <row r="6" spans="1:7">
      <c r="A6" s="11" t="s">
        <v>133</v>
      </c>
      <c r="B6" s="20">
        <v>-5</v>
      </c>
      <c r="C6" s="13"/>
      <c r="D6" s="156"/>
      <c r="E6" s="14" t="s">
        <v>9</v>
      </c>
      <c r="F6" s="18"/>
    </row>
    <row r="7" spans="1:7">
      <c r="A7" s="11" t="s">
        <v>140</v>
      </c>
      <c r="B7" s="20">
        <v>3.5</v>
      </c>
      <c r="C7" s="13"/>
      <c r="D7" s="156"/>
      <c r="E7" s="14" t="s">
        <v>3</v>
      </c>
      <c r="F7" s="18"/>
    </row>
    <row r="8" spans="1:7">
      <c r="A8" s="11" t="s">
        <v>82</v>
      </c>
      <c r="B8" s="20"/>
      <c r="C8" s="65">
        <v>3</v>
      </c>
      <c r="D8" s="157">
        <v>3</v>
      </c>
      <c r="E8" s="14" t="s">
        <v>3</v>
      </c>
      <c r="F8" s="18"/>
    </row>
    <row r="9" spans="1:7">
      <c r="A9" s="11" t="s">
        <v>2</v>
      </c>
      <c r="B9" s="12"/>
      <c r="C9" s="15">
        <f>20*LOG10(4*PI()*C11*1.852*1000/(300000000/C10))</f>
        <v>137.11742648774765</v>
      </c>
      <c r="D9" s="161">
        <f>20*LOG10(4*PI()*D11*1.852*1000/(300000000/D10))</f>
        <v>143.13802640102725</v>
      </c>
      <c r="E9" s="14" t="s">
        <v>3</v>
      </c>
      <c r="F9" s="18"/>
    </row>
    <row r="10" spans="1:7">
      <c r="A10" s="11"/>
      <c r="B10" s="12" t="s">
        <v>12</v>
      </c>
      <c r="C10" s="30">
        <f>1850000000</f>
        <v>1850000000</v>
      </c>
      <c r="D10" s="159">
        <f>1850000000</f>
        <v>1850000000</v>
      </c>
      <c r="E10" s="14" t="s">
        <v>14</v>
      </c>
      <c r="F10" s="18"/>
    </row>
    <row r="11" spans="1:7">
      <c r="A11" s="11"/>
      <c r="B11" s="12" t="s">
        <v>13</v>
      </c>
      <c r="C11" s="44">
        <v>50</v>
      </c>
      <c r="D11" s="160">
        <v>100</v>
      </c>
      <c r="E11" s="14" t="s">
        <v>61</v>
      </c>
      <c r="F11" s="18"/>
    </row>
    <row r="12" spans="1:7">
      <c r="A12" s="11" t="s">
        <v>4</v>
      </c>
      <c r="B12" s="12"/>
      <c r="C12" s="15">
        <v>-228.6</v>
      </c>
      <c r="D12" s="151">
        <f>10*LOG(1.38*10^-23)</f>
        <v>-228.60120913598763</v>
      </c>
      <c r="E12" s="14"/>
      <c r="F12" s="18"/>
    </row>
    <row r="13" spans="1:7">
      <c r="A13" s="11" t="s">
        <v>5</v>
      </c>
      <c r="B13" s="12"/>
      <c r="C13" s="15">
        <v>1</v>
      </c>
      <c r="D13" s="151">
        <v>1</v>
      </c>
      <c r="E13" s="14" t="s">
        <v>3</v>
      </c>
      <c r="F13" s="18"/>
    </row>
    <row r="14" spans="1:7">
      <c r="A14" s="11" t="s">
        <v>119</v>
      </c>
      <c r="B14" s="12"/>
      <c r="C14" s="15">
        <f>B17-10*LOG10(B25)</f>
        <v>7.4504220701812507</v>
      </c>
      <c r="D14" s="161">
        <f>B17-10*LOG10(B25)-B20-B24</f>
        <v>6.1504220701812509</v>
      </c>
      <c r="E14" s="14" t="s">
        <v>8</v>
      </c>
      <c r="F14" s="18"/>
    </row>
    <row r="15" spans="1:7">
      <c r="A15" s="11" t="s">
        <v>120</v>
      </c>
      <c r="B15" s="45">
        <v>2.5</v>
      </c>
      <c r="C15" s="15"/>
      <c r="D15" s="158"/>
      <c r="E15" s="14" t="s">
        <v>17</v>
      </c>
      <c r="F15" s="18"/>
    </row>
    <row r="16" spans="1:7">
      <c r="A16" s="11" t="s">
        <v>121</v>
      </c>
      <c r="B16" s="22">
        <v>0.55000000000000004</v>
      </c>
      <c r="C16" s="15"/>
      <c r="D16" s="158"/>
      <c r="E16" s="14" t="s">
        <v>19</v>
      </c>
      <c r="F16" s="18"/>
    </row>
    <row r="17" spans="1:7">
      <c r="A17" s="11" t="s">
        <v>122</v>
      </c>
      <c r="B17" s="23">
        <f>10*LOG10(B16*(PI()*B15/(300000000/D10))^2)</f>
        <v>31.106433995932896</v>
      </c>
      <c r="C17" s="15"/>
      <c r="D17" s="158"/>
      <c r="E17" s="14" t="s">
        <v>9</v>
      </c>
      <c r="F17" s="29">
        <f>10^(B17/10)</f>
        <v>1290.159485034764</v>
      </c>
      <c r="G17" s="29"/>
    </row>
    <row r="18" spans="1:7">
      <c r="A18" s="11" t="s">
        <v>15</v>
      </c>
      <c r="B18" s="12">
        <v>0.3</v>
      </c>
      <c r="C18" s="15"/>
      <c r="D18" s="158"/>
      <c r="E18" s="14" t="s">
        <v>3</v>
      </c>
      <c r="F18" s="29">
        <f>10^(B18/10)</f>
        <v>1.0715193052376064</v>
      </c>
      <c r="G18" s="29"/>
    </row>
    <row r="19" spans="1:7">
      <c r="A19" s="11" t="s">
        <v>108</v>
      </c>
      <c r="B19" s="12">
        <v>40</v>
      </c>
      <c r="C19" s="15"/>
      <c r="D19" s="158"/>
      <c r="E19" s="14" t="s">
        <v>3</v>
      </c>
      <c r="F19" s="63">
        <f>10^(B19/10)</f>
        <v>10000</v>
      </c>
      <c r="G19" s="29"/>
    </row>
    <row r="20" spans="1:7">
      <c r="A20" s="11" t="s">
        <v>114</v>
      </c>
      <c r="B20" s="12">
        <v>1</v>
      </c>
      <c r="C20" s="15"/>
      <c r="D20" s="158"/>
      <c r="E20" s="14" t="s">
        <v>3</v>
      </c>
      <c r="F20" s="29">
        <f>10^(-B20/10)</f>
        <v>0.79432823472428149</v>
      </c>
      <c r="G20" s="29"/>
    </row>
    <row r="21" spans="1:7">
      <c r="A21" s="11" t="s">
        <v>16</v>
      </c>
      <c r="B21" s="12">
        <v>70</v>
      </c>
      <c r="C21" s="15"/>
      <c r="D21" s="158"/>
      <c r="E21" s="14" t="s">
        <v>18</v>
      </c>
      <c r="F21" s="29"/>
      <c r="G21" s="29"/>
    </row>
    <row r="22" spans="1:7">
      <c r="A22" s="11" t="s">
        <v>109</v>
      </c>
      <c r="B22" s="12">
        <f>290</f>
        <v>290</v>
      </c>
      <c r="C22" s="15"/>
      <c r="D22" s="158"/>
      <c r="E22" s="14" t="s">
        <v>11</v>
      </c>
      <c r="F22" s="29"/>
      <c r="G22" s="29"/>
    </row>
    <row r="23" spans="1:7">
      <c r="A23" s="11" t="s">
        <v>123</v>
      </c>
      <c r="B23" s="35">
        <f>(150-32)*5/9+273.15</f>
        <v>338.70555555555552</v>
      </c>
      <c r="C23" s="15"/>
      <c r="D23" s="158"/>
      <c r="E23" s="14" t="s">
        <v>11</v>
      </c>
      <c r="F23" s="29">
        <f>10*LOG(1+B23/B22)</f>
        <v>3.3604930011062621</v>
      </c>
      <c r="G23" s="29">
        <f>10^(F23/10)</f>
        <v>2.1679501915708816</v>
      </c>
    </row>
    <row r="24" spans="1:7">
      <c r="A24" s="11" t="s">
        <v>124</v>
      </c>
      <c r="B24" s="12">
        <v>0.3</v>
      </c>
      <c r="C24" s="15"/>
      <c r="D24" s="158"/>
      <c r="E24" s="14" t="s">
        <v>3</v>
      </c>
      <c r="F24" s="29">
        <f>10^(-B24/10)</f>
        <v>0.93325430079699101</v>
      </c>
      <c r="G24" s="29"/>
    </row>
    <row r="25" spans="1:7">
      <c r="A25" s="11" t="s">
        <v>125</v>
      </c>
      <c r="B25" s="35">
        <f>B23*(1/F24-1)*(F24*F20)+(B21/2+B22/2)*(F24*F20)+B22*(1/F20-1)*F20+B22*(F18-1)+B22*(1/F29-1)/F19+B22*(F30-1)/(F19*F29)</f>
        <v>232.06048339844958</v>
      </c>
      <c r="C25" s="15"/>
      <c r="D25" s="158"/>
      <c r="E25" s="14" t="s">
        <v>11</v>
      </c>
      <c r="F25" s="29">
        <f>10*LOG(1+B25/B22)</f>
        <v>2.5532282327287668</v>
      </c>
      <c r="G25" s="29">
        <f>10^(F25/10)</f>
        <v>1.8002085634429299</v>
      </c>
    </row>
    <row r="26" spans="1:7">
      <c r="A26" s="11" t="s">
        <v>145</v>
      </c>
      <c r="B26" s="12"/>
      <c r="C26" s="15">
        <v>1</v>
      </c>
      <c r="D26" s="151">
        <v>1</v>
      </c>
      <c r="E26" s="6" t="s">
        <v>3</v>
      </c>
      <c r="F26" s="29">
        <f>10^(-D26/10)</f>
        <v>0.79432823472428149</v>
      </c>
      <c r="G26" s="29"/>
    </row>
    <row r="27" spans="1:7">
      <c r="A27" s="11" t="s">
        <v>146</v>
      </c>
      <c r="B27" s="12"/>
      <c r="C27" s="15"/>
      <c r="D27" s="158"/>
      <c r="E27" s="14"/>
      <c r="F27" s="29"/>
      <c r="G27" s="29"/>
    </row>
    <row r="28" spans="1:7">
      <c r="A28" s="11" t="s">
        <v>147</v>
      </c>
      <c r="B28" s="12"/>
      <c r="C28" s="15">
        <v>3</v>
      </c>
      <c r="D28" s="151">
        <v>3</v>
      </c>
      <c r="E28" s="14" t="s">
        <v>3</v>
      </c>
      <c r="F28" s="29">
        <f>10^(-D28/10)</f>
        <v>0.50118723362727224</v>
      </c>
      <c r="G28" s="29"/>
    </row>
    <row r="29" spans="1:7">
      <c r="A29" s="11" t="s">
        <v>112</v>
      </c>
      <c r="B29" s="12"/>
      <c r="C29" s="15"/>
      <c r="D29" s="161">
        <v>0.3</v>
      </c>
      <c r="E29" s="14" t="s">
        <v>3</v>
      </c>
      <c r="F29" s="29">
        <f>10^(-D29/10)</f>
        <v>0.93325430079699101</v>
      </c>
      <c r="G29" s="29"/>
    </row>
    <row r="30" spans="1:7">
      <c r="A30" s="11" t="s">
        <v>110</v>
      </c>
      <c r="B30" s="12"/>
      <c r="C30" s="15"/>
      <c r="D30" s="169">
        <v>10</v>
      </c>
      <c r="E30" s="14" t="s">
        <v>3</v>
      </c>
      <c r="F30" s="29">
        <f>10^(D30/10)</f>
        <v>10</v>
      </c>
      <c r="G30" s="29"/>
    </row>
    <row r="31" spans="1:7" s="60" customFormat="1" ht="24">
      <c r="A31" s="179"/>
      <c r="B31" s="175" t="s">
        <v>260</v>
      </c>
      <c r="C31" s="224" t="e">
        <f>#REF!</f>
        <v>#REF!</v>
      </c>
      <c r="D31" s="225">
        <f>'OH -MC QPSK'!C6/'OH -MC QPSK'!C1</f>
        <v>21594179.806492455</v>
      </c>
      <c r="E31" s="226" t="s">
        <v>47</v>
      </c>
      <c r="F31" s="196"/>
    </row>
    <row r="32" spans="1:7">
      <c r="A32" s="166" t="s">
        <v>258</v>
      </c>
      <c r="B32" s="12"/>
      <c r="C32" s="15" t="e">
        <f>10*LOG10(C31)</f>
        <v>#REF!</v>
      </c>
      <c r="D32" s="158">
        <f>10*LOG10(D31)</f>
        <v>73.343367132559848</v>
      </c>
      <c r="E32" s="14" t="s">
        <v>7</v>
      </c>
      <c r="F32" s="18"/>
    </row>
    <row r="33" spans="1:7">
      <c r="A33" s="185" t="s">
        <v>100</v>
      </c>
      <c r="B33" s="12"/>
      <c r="C33" s="15">
        <v>1</v>
      </c>
      <c r="D33" s="158">
        <v>1</v>
      </c>
      <c r="E33" s="14" t="s">
        <v>3</v>
      </c>
      <c r="F33" s="18"/>
    </row>
    <row r="34" spans="1:7">
      <c r="A34" s="166" t="s">
        <v>166</v>
      </c>
      <c r="B34" s="12" t="s">
        <v>6</v>
      </c>
      <c r="C34" s="43">
        <f>'Req EbNo values'!$C$5</f>
        <v>5</v>
      </c>
      <c r="D34" s="173">
        <f>'Req EbNo values'!$C$6</f>
        <v>2.35</v>
      </c>
      <c r="E34" s="14" t="s">
        <v>3</v>
      </c>
      <c r="F34" s="18"/>
    </row>
    <row r="35" spans="1:7">
      <c r="A35" s="166" t="s">
        <v>113</v>
      </c>
      <c r="B35" s="12"/>
      <c r="C35" s="15">
        <v>2</v>
      </c>
      <c r="D35" s="151">
        <v>2</v>
      </c>
      <c r="E35" s="14" t="s">
        <v>3</v>
      </c>
      <c r="F35" s="18"/>
    </row>
    <row r="36" spans="1:7">
      <c r="A36" s="167" t="s">
        <v>85</v>
      </c>
      <c r="B36" s="39"/>
      <c r="C36" s="40">
        <v>1</v>
      </c>
      <c r="D36" s="162">
        <v>1</v>
      </c>
      <c r="E36" s="41" t="s">
        <v>3</v>
      </c>
      <c r="F36" s="18"/>
    </row>
    <row r="37" spans="1:7" ht="13" thickBot="1">
      <c r="A37" s="168" t="s">
        <v>49</v>
      </c>
      <c r="B37" s="16"/>
      <c r="C37" s="46" t="e">
        <f>C4-C9-C12-C13+C14-C26-C28-C32-C34-C35-C8-C33-C36</f>
        <v>#REF!</v>
      </c>
      <c r="D37" s="163">
        <f>D4-D8-D9-D12-D13+D14-D26-D27-D28-D32-D33-D34-D35-D36</f>
        <v>0.19145021977841159</v>
      </c>
      <c r="E37" s="17" t="s">
        <v>3</v>
      </c>
      <c r="F37" s="57">
        <f>D42-D48</f>
        <v>0.21422106278033937</v>
      </c>
    </row>
    <row r="38" spans="1:7" ht="13" thickBot="1">
      <c r="A38" s="32" t="s">
        <v>62</v>
      </c>
      <c r="B38" s="33">
        <v>0.88</v>
      </c>
      <c r="C38" s="34"/>
      <c r="D38" s="74"/>
      <c r="E38" s="36"/>
      <c r="F38" s="18"/>
    </row>
    <row r="39" spans="1:7" ht="13" thickBot="1">
      <c r="A39" s="32" t="s">
        <v>63</v>
      </c>
      <c r="B39" s="33"/>
      <c r="C39" s="31" t="e">
        <f>IF((1/(10^((C37+C8)/10))-1-B38^2)/(2*B38)&lt;-1, 1, IF((1/(10^((C37+C8)/10))-1-B38^2)/(2*B38)&gt;1, 0, 1/PI()*ACOS((1/(10^(((C37+C8))/10))-1-B38^2)/(2*B38))))</f>
        <v>#REF!</v>
      </c>
      <c r="D39" s="31">
        <f>IF((1/(10^((D37+D8)/10))-1-B38^2)/(2*B38)&lt;-1, 1, IF((1/(10^((D37+D8)/10))-1-B38^2)/(2*B38)&gt;1, 0, 1/PI()*ACOS((1/(10^(((D37+D8))/10))-1-B38^2)/(2*B38))))</f>
        <v>0.76314524744135948</v>
      </c>
    </row>
    <row r="40" spans="1:7" ht="13" thickBot="1"/>
    <row r="41" spans="1:7">
      <c r="A41" s="2" t="s">
        <v>138</v>
      </c>
      <c r="B41" s="3"/>
      <c r="C41" s="221" t="e">
        <f>10*LOG(1000*#REF!)+#REF!-C8-C9-C13</f>
        <v>#REF!</v>
      </c>
      <c r="D41" s="222">
        <f>10*LOG(1000*10^(D4/10))-D8-D9-D13</f>
        <v>-120.86681385383062</v>
      </c>
      <c r="E41" s="4" t="s">
        <v>50</v>
      </c>
    </row>
    <row r="42" spans="1:7">
      <c r="A42" s="223" t="s">
        <v>136</v>
      </c>
      <c r="B42" s="1"/>
      <c r="C42" s="219" t="e">
        <f>C41+#REF!-C26-C27-C28</f>
        <v>#REF!</v>
      </c>
      <c r="D42" s="153">
        <f>D41+B17-D26-D28-B20-B24</f>
        <v>-95.060379857897729</v>
      </c>
      <c r="E42" s="6" t="s">
        <v>50</v>
      </c>
      <c r="F42" s="47"/>
    </row>
    <row r="43" spans="1:7">
      <c r="A43" s="5" t="s">
        <v>135</v>
      </c>
      <c r="B43" s="1"/>
      <c r="C43" s="1">
        <f>-172</f>
        <v>-172</v>
      </c>
      <c r="D43" s="150">
        <f>-174+10*LOG(B25/290)</f>
        <v>-174.96796805323791</v>
      </c>
      <c r="E43" s="6" t="s">
        <v>107</v>
      </c>
    </row>
    <row r="44" spans="1:7">
      <c r="A44" s="5" t="s">
        <v>165</v>
      </c>
      <c r="B44" s="1" t="s">
        <v>167</v>
      </c>
      <c r="C44" s="218" t="e">
        <f>C34+10*LOG('[1]DR &amp; overhead -SC (threshold)'!$G$45/'[1]DR &amp; overhead -SC (threshold)'!$G$47)+C33+C35+C36</f>
        <v>#REF!</v>
      </c>
      <c r="D44" s="150">
        <f>'Req EbNo values'!C5</f>
        <v>5</v>
      </c>
      <c r="E44" s="6" t="s">
        <v>60</v>
      </c>
      <c r="F44" s="47"/>
    </row>
    <row r="45" spans="1:7" hidden="1">
      <c r="A45" s="223" t="s">
        <v>111</v>
      </c>
      <c r="B45" s="1"/>
      <c r="C45" s="219" t="e">
        <f>C42-C43-10*LOG(#REF!)-C44</f>
        <v>#REF!</v>
      </c>
      <c r="D45" s="153" t="e">
        <f>10*LOG(F19*F20*F29*(G25-(1+(B23/B22)*(1/F24-1))-(1+(B22/B22)*(1/F20-1))-(F18-1)/F20-((1+(B22/B22)*(1/F29-1))-1)/(F20*F19))+1)</f>
        <v>#NUM!</v>
      </c>
      <c r="E45" s="6" t="s">
        <v>3</v>
      </c>
    </row>
    <row r="46" spans="1:7">
      <c r="A46" s="5" t="s">
        <v>150</v>
      </c>
      <c r="B46" s="220"/>
      <c r="C46" s="1"/>
      <c r="D46" s="151">
        <f>D30</f>
        <v>10</v>
      </c>
      <c r="E46" s="6" t="s">
        <v>3</v>
      </c>
    </row>
    <row r="47" spans="1:7" hidden="1">
      <c r="A47" s="5" t="s">
        <v>168</v>
      </c>
      <c r="B47" s="292"/>
      <c r="C47" s="1"/>
      <c r="D47" s="151" t="e">
        <f>#REF!*10^6</f>
        <v>#REF!</v>
      </c>
      <c r="E47" s="6" t="s">
        <v>47</v>
      </c>
      <c r="F47" s="29"/>
    </row>
    <row r="48" spans="1:7" ht="25" thickBot="1">
      <c r="A48" s="275" t="s">
        <v>141</v>
      </c>
      <c r="B48" s="305" t="s">
        <v>167</v>
      </c>
      <c r="C48" s="1"/>
      <c r="D48" s="277">
        <f>D43+D34+D33+D35+D36+10*LOG(D49)</f>
        <v>-95.274600920678068</v>
      </c>
      <c r="E48" s="123" t="s">
        <v>50</v>
      </c>
      <c r="G48" s="129">
        <f>D43+D34+D33+D35+D36</f>
        <v>-168.61796805323792</v>
      </c>
    </row>
    <row r="49" spans="1:7">
      <c r="A49" s="288" t="s">
        <v>258</v>
      </c>
      <c r="B49" s="291"/>
      <c r="C49" s="1"/>
      <c r="D49" s="290">
        <f>D31</f>
        <v>21594179.806492455</v>
      </c>
      <c r="E49" s="87" t="s">
        <v>47</v>
      </c>
    </row>
    <row r="50" spans="1:7" s="60" customFormat="1" ht="17" hidden="1" customHeight="1" thickBot="1">
      <c r="A50" s="285" t="s">
        <v>148</v>
      </c>
      <c r="B50" s="284"/>
      <c r="C50" s="276"/>
      <c r="D50" s="303">
        <f>10*LOG((1+(B23/B22)*(1/F24-1))+((1+(B22/B22)*(1/F20-1))-1)/F24+(F18-1)/(F24*F20)+((1+(B22/B22)*(1/F29-1))-1)/(F24*F20*F19)+(F30-1)/(F24*F20*F19*F29))</f>
        <v>1.6398444022525003</v>
      </c>
      <c r="E50" s="226" t="s">
        <v>3</v>
      </c>
      <c r="F50" s="278"/>
      <c r="G50" s="112"/>
    </row>
    <row r="51" spans="1:7" hidden="1">
      <c r="A51" s="285" t="s">
        <v>170</v>
      </c>
      <c r="B51" s="284"/>
      <c r="C51" s="53"/>
      <c r="D51" s="152">
        <f>D52+10*LOG('Req EbNo values'!C2*'Req EbNo values'!D5)</f>
        <v>3.5993873660829996</v>
      </c>
      <c r="E51" s="14" t="s">
        <v>3</v>
      </c>
      <c r="F51" s="47"/>
    </row>
    <row r="52" spans="1:7">
      <c r="A52" s="185" t="s">
        <v>166</v>
      </c>
      <c r="B52" s="1" t="s">
        <v>167</v>
      </c>
      <c r="D52" s="186">
        <f>D34</f>
        <v>2.35</v>
      </c>
      <c r="E52" s="14" t="s">
        <v>3</v>
      </c>
    </row>
    <row r="53" spans="1:7" ht="25" thickBot="1">
      <c r="A53" s="275" t="s">
        <v>144</v>
      </c>
      <c r="B53" s="304" t="s">
        <v>164</v>
      </c>
      <c r="D53" s="277">
        <f>D46-174+D34+10*LOG(D49)+D33+D35+D36</f>
        <v>-84.306632867440157</v>
      </c>
      <c r="E53" s="123" t="s">
        <v>50</v>
      </c>
      <c r="F53" s="129">
        <f>D53-D48</f>
        <v>10.967968053237911</v>
      </c>
      <c r="G53" s="129">
        <f>D46-174+D34+D33+D35+D36</f>
        <v>-157.65</v>
      </c>
    </row>
    <row r="54" spans="1:7">
      <c r="B54" s="50"/>
    </row>
    <row r="55" spans="1:7">
      <c r="B55" s="50"/>
    </row>
    <row r="56" spans="1:7">
      <c r="B56" s="50"/>
    </row>
    <row r="57" spans="1:7">
      <c r="B57" s="50"/>
    </row>
    <row r="58" spans="1:7">
      <c r="B58" s="50"/>
    </row>
    <row r="59" spans="1:7">
      <c r="B59" s="50"/>
    </row>
    <row r="60" spans="1:7">
      <c r="B60" s="50"/>
    </row>
    <row r="61" spans="1:7">
      <c r="B61" s="50"/>
    </row>
    <row r="62" spans="1:7">
      <c r="B62" s="50"/>
    </row>
    <row r="63" spans="1:7">
      <c r="B63" s="50"/>
    </row>
    <row r="64" spans="1:7">
      <c r="B64" s="50"/>
    </row>
    <row r="65" spans="2:2">
      <c r="B65" s="50"/>
    </row>
    <row r="66" spans="2:2">
      <c r="B66" s="50"/>
    </row>
    <row r="67" spans="2:2">
      <c r="B67" s="50"/>
    </row>
    <row r="68" spans="2:2">
      <c r="B68" s="50"/>
    </row>
    <row r="69" spans="2:2">
      <c r="B69" s="50"/>
    </row>
    <row r="70" spans="2:2">
      <c r="B70" s="50"/>
    </row>
    <row r="71" spans="2:2">
      <c r="B71" s="50"/>
    </row>
    <row r="72" spans="2:2">
      <c r="B72" s="50"/>
    </row>
    <row r="73" spans="2:2">
      <c r="B73" s="50"/>
    </row>
    <row r="74" spans="2:2">
      <c r="B74" s="50"/>
    </row>
    <row r="75" spans="2:2">
      <c r="B75" s="50"/>
    </row>
    <row r="76" spans="2:2">
      <c r="B76" s="50"/>
    </row>
    <row r="77" spans="2:2">
      <c r="B77" s="50"/>
    </row>
    <row r="78" spans="2:2">
      <c r="B78" s="50"/>
    </row>
    <row r="79" spans="2:2">
      <c r="B79" s="50"/>
    </row>
    <row r="80" spans="2:2">
      <c r="B80" s="50"/>
    </row>
    <row r="81" spans="2:2">
      <c r="B81" s="50"/>
    </row>
    <row r="82" spans="2:2">
      <c r="B82" s="50"/>
    </row>
    <row r="83" spans="2:2">
      <c r="B83" s="50"/>
    </row>
    <row r="84" spans="2:2">
      <c r="B84" s="50"/>
    </row>
    <row r="85" spans="2:2">
      <c r="B85" s="50"/>
    </row>
    <row r="86" spans="2:2">
      <c r="B86" s="50"/>
    </row>
    <row r="87" spans="2:2">
      <c r="B87" s="50"/>
    </row>
    <row r="88" spans="2:2">
      <c r="B88" s="50"/>
    </row>
    <row r="89" spans="2:2">
      <c r="B89" s="50"/>
    </row>
    <row r="90" spans="2:2">
      <c r="B90" s="50"/>
    </row>
    <row r="91" spans="2:2">
      <c r="B91" s="50"/>
    </row>
    <row r="92" spans="2:2">
      <c r="B92" s="50"/>
    </row>
    <row r="93" spans="2:2">
      <c r="B93" s="50"/>
    </row>
    <row r="94" spans="2:2">
      <c r="B94" s="50"/>
    </row>
    <row r="95" spans="2:2">
      <c r="B95" s="50"/>
    </row>
    <row r="96" spans="2:2">
      <c r="B96" s="50"/>
    </row>
    <row r="97" spans="2:2">
      <c r="B97" s="50"/>
    </row>
    <row r="98" spans="2:2">
      <c r="B98" s="50"/>
    </row>
    <row r="99" spans="2:2">
      <c r="B99" s="50"/>
    </row>
    <row r="100" spans="2:2">
      <c r="B100" s="50"/>
    </row>
    <row r="101" spans="2:2">
      <c r="B101" s="50"/>
    </row>
    <row r="102" spans="2:2">
      <c r="B102" s="50"/>
    </row>
    <row r="103" spans="2:2">
      <c r="B103" s="50"/>
    </row>
    <row r="104" spans="2:2">
      <c r="B104" s="50"/>
    </row>
  </sheetData>
  <phoneticPr fontId="2" type="noConversion"/>
  <pageMargins left="0.75" right="0.75" top="1" bottom="1" header="0.5" footer="0.5"/>
  <pageSetup orientation="portrait"/>
  <headerFooter alignWithMargins="0"/>
  <drawing r:id="rId1"/>
  <legacyDrawing r:id="rId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W61"/>
  <sheetViews>
    <sheetView zoomScale="75" workbookViewId="0">
      <selection activeCell="D52" sqref="D52"/>
    </sheetView>
  </sheetViews>
  <sheetFormatPr baseColWidth="10" defaultColWidth="8.83203125" defaultRowHeight="12" x14ac:dyDescent="0"/>
  <cols>
    <col min="1" max="1" width="8.83203125" style="60"/>
    <col min="2" max="2" width="35.6640625" style="60" customWidth="1"/>
    <col min="3" max="3" width="11.5" style="58" customWidth="1"/>
    <col min="4" max="4" width="56.6640625" style="60" customWidth="1"/>
    <col min="5" max="5" width="45.33203125" style="60" customWidth="1"/>
    <col min="6" max="6" width="10.1640625" style="60" customWidth="1"/>
    <col min="7" max="7" width="8.33203125" style="60" customWidth="1"/>
    <col min="8" max="9" width="9.33203125" style="60" customWidth="1"/>
    <col min="10" max="10" width="13" style="60" customWidth="1"/>
    <col min="11" max="11" width="5.1640625" style="60" customWidth="1"/>
    <col min="12" max="12" width="13.5" style="60" customWidth="1"/>
    <col min="13" max="13" width="10.83203125" style="60" customWidth="1"/>
    <col min="14" max="14" width="8.83203125" style="60"/>
    <col min="15" max="15" width="10.5" style="60" customWidth="1"/>
    <col min="16" max="16" width="13.33203125" style="60" customWidth="1"/>
    <col min="17" max="17" width="18.5" style="60" customWidth="1"/>
    <col min="18" max="18" width="10.83203125" style="60" customWidth="1"/>
    <col min="19" max="19" width="7.6640625" style="60" customWidth="1"/>
    <col min="20" max="20" width="8.6640625" style="60" customWidth="1"/>
    <col min="21" max="21" width="11" style="60" customWidth="1"/>
    <col min="22" max="22" width="9.5" style="60" customWidth="1"/>
    <col min="23" max="23" width="9.83203125" style="60" customWidth="1"/>
    <col min="24" max="16384" width="8.83203125" style="60"/>
  </cols>
  <sheetData>
    <row r="1" spans="2:23">
      <c r="B1" s="102" t="s">
        <v>57</v>
      </c>
      <c r="C1" s="103">
        <v>0.66666666666666663</v>
      </c>
      <c r="R1" s="458"/>
      <c r="S1" s="459"/>
      <c r="T1" s="459"/>
      <c r="U1" s="458"/>
      <c r="V1" s="459"/>
      <c r="W1" s="459"/>
    </row>
    <row r="2" spans="2:23">
      <c r="B2" s="102" t="s">
        <v>55</v>
      </c>
      <c r="C2" s="104">
        <f>F48</f>
        <v>4.4444444444444446</v>
      </c>
      <c r="D2" s="60" t="s">
        <v>56</v>
      </c>
      <c r="F2" s="308"/>
      <c r="G2" s="308"/>
      <c r="H2" s="112"/>
      <c r="R2" s="458"/>
      <c r="S2" s="459"/>
      <c r="T2" s="459"/>
      <c r="U2" s="458"/>
      <c r="V2" s="459"/>
      <c r="W2" s="459"/>
    </row>
    <row r="3" spans="2:23" ht="13" thickBot="1">
      <c r="E3" s="457"/>
      <c r="F3" s="455"/>
      <c r="G3" s="455"/>
      <c r="H3" s="455"/>
      <c r="I3" s="455"/>
      <c r="J3" s="196"/>
      <c r="K3" s="281"/>
      <c r="L3" s="58"/>
      <c r="M3" s="58"/>
      <c r="Q3" s="58"/>
      <c r="R3" s="58"/>
      <c r="S3" s="309"/>
      <c r="T3" s="129"/>
      <c r="U3" s="58"/>
      <c r="V3" s="58"/>
      <c r="W3" s="58"/>
    </row>
    <row r="4" spans="2:23">
      <c r="B4" s="133" t="s">
        <v>262</v>
      </c>
      <c r="C4" s="403">
        <f>17.238*10^6</f>
        <v>17238000</v>
      </c>
      <c r="D4" s="135" t="s">
        <v>183</v>
      </c>
      <c r="E4" s="196"/>
      <c r="F4" s="358"/>
      <c r="G4" s="358"/>
      <c r="H4" s="358"/>
      <c r="I4" s="196"/>
      <c r="J4" s="196"/>
      <c r="K4" s="196"/>
      <c r="Q4" s="58"/>
      <c r="R4" s="143"/>
      <c r="S4" s="309"/>
      <c r="T4" s="129"/>
      <c r="U4" s="58"/>
      <c r="V4" s="58"/>
      <c r="W4" s="58"/>
    </row>
    <row r="5" spans="2:23">
      <c r="B5" s="136" t="s">
        <v>172</v>
      </c>
      <c r="C5" s="310">
        <f>C30</f>
        <v>0.59882684784867324</v>
      </c>
      <c r="D5" s="137"/>
      <c r="E5" s="196"/>
      <c r="F5" s="359"/>
      <c r="G5" s="359"/>
      <c r="H5" s="359"/>
      <c r="I5" s="196"/>
      <c r="J5" s="196"/>
      <c r="K5" s="196"/>
      <c r="Q5" s="58"/>
      <c r="R5" s="143"/>
      <c r="S5" s="58"/>
      <c r="T5" s="129"/>
      <c r="U5" s="58"/>
      <c r="V5" s="58"/>
      <c r="W5" s="58"/>
    </row>
    <row r="6" spans="2:23">
      <c r="B6" s="138" t="s">
        <v>263</v>
      </c>
      <c r="C6" s="311">
        <f>C4/C5</f>
        <v>28786284.48595567</v>
      </c>
      <c r="D6" s="137" t="s">
        <v>51</v>
      </c>
      <c r="E6" s="196"/>
      <c r="F6" s="359"/>
      <c r="G6" s="359"/>
      <c r="H6" s="359"/>
      <c r="I6" s="196"/>
      <c r="J6" s="196"/>
      <c r="K6" s="196"/>
      <c r="Q6" s="58"/>
      <c r="R6" s="143"/>
      <c r="S6" s="58"/>
      <c r="T6" s="129"/>
      <c r="U6" s="58"/>
      <c r="V6" s="58"/>
      <c r="W6" s="58"/>
    </row>
    <row r="7" spans="2:23">
      <c r="B7" s="138" t="s">
        <v>173</v>
      </c>
      <c r="C7" s="110">
        <f>(C2*10^-6)*('Req EbNo values'!G9/C6)</f>
        <v>4.4465620445892892E-6</v>
      </c>
      <c r="D7" s="137" t="s">
        <v>94</v>
      </c>
      <c r="E7" s="280"/>
      <c r="F7" s="357"/>
      <c r="G7" s="357"/>
      <c r="H7" s="357"/>
      <c r="I7" s="196"/>
      <c r="J7" s="196"/>
      <c r="K7" s="196"/>
      <c r="Q7" s="58"/>
      <c r="R7" s="143"/>
      <c r="S7" s="58"/>
      <c r="T7" s="129"/>
      <c r="U7" s="58"/>
      <c r="V7" s="58"/>
      <c r="W7" s="58"/>
    </row>
    <row r="8" spans="2:23">
      <c r="B8" s="138" t="s">
        <v>178</v>
      </c>
      <c r="C8" s="312">
        <f>52/(C7-F50*10^-6)</f>
        <v>14616294.899569755</v>
      </c>
      <c r="D8" s="137" t="s">
        <v>174</v>
      </c>
      <c r="E8" s="196"/>
      <c r="F8" s="360"/>
      <c r="G8" s="360"/>
      <c r="H8" s="360"/>
      <c r="I8" s="196"/>
      <c r="J8" s="196"/>
      <c r="K8" s="196"/>
      <c r="Q8" s="58"/>
      <c r="R8" s="143"/>
      <c r="S8" s="58"/>
      <c r="T8" s="129"/>
      <c r="U8" s="58"/>
      <c r="V8" s="58"/>
      <c r="W8" s="58"/>
    </row>
    <row r="9" spans="2:23">
      <c r="B9" s="314"/>
      <c r="C9" s="59"/>
      <c r="D9" s="315"/>
      <c r="E9" s="196"/>
      <c r="F9" s="362"/>
      <c r="G9" s="362"/>
      <c r="H9" s="362"/>
      <c r="I9" s="363"/>
      <c r="J9" s="281"/>
      <c r="K9" s="196"/>
      <c r="L9" s="58"/>
      <c r="M9" s="58"/>
      <c r="Q9" s="58"/>
      <c r="R9" s="143"/>
      <c r="S9" s="143"/>
      <c r="T9" s="129"/>
      <c r="U9" s="143"/>
      <c r="V9" s="58"/>
      <c r="W9" s="58"/>
    </row>
    <row r="10" spans="2:23">
      <c r="B10" s="316" t="s">
        <v>267</v>
      </c>
      <c r="C10" s="59"/>
      <c r="D10" s="315"/>
      <c r="E10" s="196"/>
      <c r="F10" s="364"/>
      <c r="G10" s="361"/>
      <c r="H10" s="196"/>
      <c r="I10" s="196"/>
      <c r="J10" s="196"/>
      <c r="K10" s="196"/>
      <c r="Q10" s="58"/>
      <c r="R10" s="143"/>
      <c r="S10" s="129"/>
      <c r="T10" s="129"/>
      <c r="U10" s="143"/>
      <c r="V10" s="58"/>
      <c r="W10" s="58"/>
    </row>
    <row r="11" spans="2:23">
      <c r="B11" s="138" t="s">
        <v>264</v>
      </c>
      <c r="C11" s="110">
        <f>C23/((1-C18)*(1-C13)*(1-C21)*(1-C22)*(1-C26)*(1-C25)*(1-C27)*(1-C28))</f>
        <v>28786284.48595567</v>
      </c>
      <c r="D11" s="139" t="s">
        <v>47</v>
      </c>
      <c r="E11" s="196"/>
      <c r="F11" s="365"/>
      <c r="G11" s="366"/>
      <c r="H11" s="365"/>
      <c r="I11" s="367"/>
      <c r="J11" s="196"/>
      <c r="K11" s="196"/>
      <c r="Q11" s="58"/>
      <c r="R11" s="143"/>
      <c r="S11" s="129"/>
      <c r="T11" s="129"/>
      <c r="U11" s="143"/>
      <c r="V11" s="58"/>
      <c r="W11" s="58"/>
    </row>
    <row r="12" spans="2:23" ht="13.5" customHeight="1">
      <c r="B12" s="138" t="s">
        <v>43</v>
      </c>
      <c r="C12" s="130">
        <v>0.76</v>
      </c>
      <c r="D12" s="139" t="s">
        <v>227</v>
      </c>
      <c r="E12" s="196"/>
      <c r="F12" s="368"/>
      <c r="G12" s="368"/>
      <c r="H12" s="368"/>
      <c r="I12" s="196"/>
      <c r="J12" s="196"/>
      <c r="K12" s="196"/>
      <c r="Q12" s="58"/>
      <c r="R12" s="143"/>
      <c r="S12" s="129"/>
      <c r="T12" s="129"/>
      <c r="U12" s="143"/>
      <c r="V12" s="58"/>
      <c r="W12" s="58"/>
    </row>
    <row r="13" spans="2:23" ht="15" customHeight="1">
      <c r="B13" s="138" t="s">
        <v>42</v>
      </c>
      <c r="C13" s="130">
        <f>1-0.92*C12</f>
        <v>0.30079999999999996</v>
      </c>
      <c r="D13" s="139" t="s">
        <v>44</v>
      </c>
      <c r="E13" s="196"/>
      <c r="F13" s="281"/>
      <c r="G13" s="281"/>
      <c r="H13" s="281"/>
      <c r="I13" s="196"/>
      <c r="J13" s="196"/>
      <c r="K13" s="196"/>
      <c r="Q13" s="58"/>
      <c r="R13" s="313"/>
      <c r="S13" s="129"/>
      <c r="T13" s="129"/>
      <c r="U13" s="143"/>
      <c r="V13" s="58"/>
      <c r="W13" s="58"/>
    </row>
    <row r="14" spans="2:23">
      <c r="B14" s="138" t="s">
        <v>34</v>
      </c>
      <c r="C14" s="106">
        <v>0.1</v>
      </c>
      <c r="D14" s="139" t="s">
        <v>35</v>
      </c>
      <c r="E14" s="196"/>
      <c r="F14" s="368"/>
      <c r="G14" s="368"/>
      <c r="H14" s="368"/>
      <c r="I14" s="196"/>
      <c r="J14" s="196"/>
      <c r="K14" s="196"/>
      <c r="Q14" s="58"/>
      <c r="R14" s="143"/>
      <c r="S14" s="129"/>
      <c r="T14" s="129"/>
      <c r="U14" s="143"/>
      <c r="V14" s="58"/>
      <c r="W14" s="58"/>
    </row>
    <row r="15" spans="2:23" ht="15">
      <c r="B15" s="138" t="s">
        <v>45</v>
      </c>
      <c r="C15" s="106">
        <v>4</v>
      </c>
      <c r="D15" s="139" t="s">
        <v>280</v>
      </c>
      <c r="E15" s="280"/>
      <c r="F15" s="369"/>
      <c r="G15" s="353"/>
      <c r="H15" s="369"/>
      <c r="I15" s="196"/>
      <c r="J15" s="196"/>
      <c r="K15" s="196"/>
      <c r="Q15" s="58"/>
      <c r="R15" s="129"/>
      <c r="S15" s="129"/>
      <c r="T15" s="129"/>
      <c r="U15" s="143"/>
      <c r="V15" s="58"/>
      <c r="W15" s="58"/>
    </row>
    <row r="16" spans="2:23">
      <c r="B16" s="138" t="s">
        <v>235</v>
      </c>
      <c r="C16" s="106">
        <v>1</v>
      </c>
      <c r="D16" s="139" t="s">
        <v>236</v>
      </c>
      <c r="E16" s="280"/>
      <c r="F16" s="369"/>
      <c r="G16" s="353"/>
      <c r="H16" s="369"/>
      <c r="I16" s="196"/>
      <c r="J16" s="196"/>
      <c r="K16" s="196"/>
      <c r="Q16" s="58"/>
      <c r="R16" s="129"/>
      <c r="S16" s="129"/>
      <c r="T16" s="129"/>
      <c r="U16" s="143"/>
      <c r="V16" s="58"/>
      <c r="W16" s="58"/>
    </row>
    <row r="17" spans="2:23" ht="21.75" customHeight="1">
      <c r="B17" s="138" t="s">
        <v>36</v>
      </c>
      <c r="C17" s="107">
        <f>'TA -&gt; GS (MC-QAM)'!D11*1852/300000000</f>
        <v>3.5188E-4</v>
      </c>
      <c r="D17" s="139" t="s">
        <v>281</v>
      </c>
      <c r="E17" s="370"/>
      <c r="F17" s="353"/>
      <c r="G17" s="353"/>
      <c r="H17" s="353"/>
      <c r="I17" s="371"/>
      <c r="J17" s="196"/>
      <c r="K17" s="196"/>
      <c r="Q17" s="58"/>
      <c r="R17" s="129"/>
      <c r="S17" s="129"/>
      <c r="T17" s="129"/>
      <c r="U17" s="143"/>
      <c r="V17" s="58"/>
      <c r="W17" s="58"/>
    </row>
    <row r="18" spans="2:23" ht="21.75" customHeight="1">
      <c r="B18" s="138" t="s">
        <v>33</v>
      </c>
      <c r="C18" s="130">
        <f>(2*C17+C15*7*10^-6)/((2*C17+C15*7*10^-6)+C14)</f>
        <v>7.2644417212605044E-3</v>
      </c>
      <c r="D18" s="139" t="s">
        <v>282</v>
      </c>
      <c r="E18" s="328"/>
      <c r="F18" s="372"/>
      <c r="G18" s="372"/>
      <c r="H18" s="372"/>
      <c r="I18" s="371"/>
      <c r="J18" s="196"/>
      <c r="K18" s="196"/>
      <c r="Q18" s="58"/>
      <c r="R18" s="129"/>
      <c r="S18" s="129"/>
      <c r="T18" s="129"/>
      <c r="U18" s="143"/>
      <c r="V18" s="58"/>
      <c r="W18" s="58"/>
    </row>
    <row r="19" spans="2:23">
      <c r="B19" s="138" t="s">
        <v>177</v>
      </c>
      <c r="C19" s="106">
        <v>4096</v>
      </c>
      <c r="D19" s="139" t="s">
        <v>71</v>
      </c>
      <c r="E19" s="328"/>
      <c r="F19" s="362"/>
      <c r="G19" s="362"/>
      <c r="H19" s="362"/>
      <c r="I19" s="371"/>
      <c r="J19" s="196"/>
      <c r="K19" s="196"/>
      <c r="Q19" s="58"/>
      <c r="R19" s="129"/>
      <c r="S19" s="129"/>
      <c r="T19" s="129"/>
      <c r="U19" s="143"/>
      <c r="V19" s="58"/>
      <c r="W19" s="58"/>
    </row>
    <row r="20" spans="2:23">
      <c r="B20" s="138" t="s">
        <v>32</v>
      </c>
      <c r="C20" s="187">
        <f>C19/48/C1</f>
        <v>128</v>
      </c>
      <c r="D20" s="139"/>
      <c r="E20" s="328"/>
      <c r="F20" s="373"/>
      <c r="G20" s="373"/>
      <c r="H20" s="373"/>
      <c r="I20" s="196"/>
      <c r="J20" s="196"/>
      <c r="K20" s="196"/>
      <c r="Q20" s="58"/>
      <c r="R20" s="129"/>
      <c r="S20" s="129"/>
      <c r="T20" s="129"/>
      <c r="U20" s="143"/>
      <c r="V20" s="58"/>
      <c r="W20" s="58"/>
    </row>
    <row r="21" spans="2:23">
      <c r="B21" s="138" t="s">
        <v>48</v>
      </c>
      <c r="C21" s="130">
        <f>C15*C19/(C15*C19+C4*C14)</f>
        <v>9.4150963346404746E-3</v>
      </c>
      <c r="D21" s="139"/>
      <c r="E21" s="328"/>
      <c r="F21" s="196"/>
      <c r="G21" s="196"/>
      <c r="H21" s="196"/>
      <c r="I21" s="196"/>
      <c r="J21" s="196"/>
      <c r="K21" s="196"/>
      <c r="Q21" s="58"/>
      <c r="R21" s="129"/>
      <c r="S21" s="129"/>
      <c r="T21" s="129"/>
      <c r="U21" s="58"/>
      <c r="V21" s="58"/>
      <c r="W21" s="58"/>
    </row>
    <row r="22" spans="2:23">
      <c r="B22" s="138" t="s">
        <v>28</v>
      </c>
      <c r="C22" s="130">
        <f>(64+48)/(64+48+C16*C19)</f>
        <v>2.6615969581749048E-2</v>
      </c>
      <c r="D22" s="139" t="s">
        <v>240</v>
      </c>
      <c r="E22" s="370"/>
      <c r="F22" s="374"/>
      <c r="G22" s="369"/>
      <c r="H22" s="374"/>
      <c r="I22" s="196"/>
      <c r="J22" s="196"/>
      <c r="K22" s="196"/>
      <c r="Q22" s="58"/>
      <c r="R22" s="58"/>
      <c r="S22" s="58"/>
      <c r="T22" s="58"/>
      <c r="U22" s="58"/>
      <c r="V22" s="58"/>
      <c r="W22" s="58"/>
    </row>
    <row r="23" spans="2:23">
      <c r="B23" s="138" t="s">
        <v>265</v>
      </c>
      <c r="C23" s="107">
        <f>C29</f>
        <v>17238000</v>
      </c>
      <c r="D23" s="139"/>
      <c r="E23" s="328"/>
      <c r="F23" s="368"/>
      <c r="G23" s="368"/>
      <c r="H23" s="368"/>
      <c r="I23" s="196"/>
      <c r="J23" s="196"/>
      <c r="K23" s="196"/>
      <c r="Q23" s="58"/>
      <c r="R23" s="58"/>
      <c r="S23" s="58"/>
      <c r="T23" s="58"/>
      <c r="U23" s="58"/>
      <c r="V23" s="58"/>
      <c r="W23" s="58"/>
    </row>
    <row r="24" spans="2:23" ht="13.25" customHeight="1">
      <c r="B24" s="138" t="s">
        <v>29</v>
      </c>
      <c r="C24" s="106">
        <f>8000</f>
        <v>8000</v>
      </c>
      <c r="D24" s="139" t="s">
        <v>30</v>
      </c>
      <c r="E24" s="370"/>
      <c r="F24" s="353"/>
      <c r="G24" s="353"/>
      <c r="H24" s="353"/>
      <c r="I24" s="196"/>
      <c r="J24" s="375"/>
      <c r="K24" s="196"/>
      <c r="Q24" s="58"/>
      <c r="R24" s="58"/>
      <c r="S24" s="58"/>
      <c r="T24" s="143"/>
      <c r="U24" s="143"/>
      <c r="V24" s="58"/>
      <c r="W24" s="58"/>
    </row>
    <row r="25" spans="2:23" ht="27.5" customHeight="1">
      <c r="B25" s="138" t="s">
        <v>101</v>
      </c>
      <c r="C25" s="130">
        <f>2/(2+256)+3*8/(3*8+C24)</f>
        <v>1.0742964903738397E-2</v>
      </c>
      <c r="D25" s="139" t="s">
        <v>102</v>
      </c>
      <c r="E25" s="370"/>
      <c r="F25" s="353"/>
      <c r="G25" s="353"/>
      <c r="H25" s="353"/>
      <c r="I25" s="196"/>
      <c r="J25" s="196"/>
      <c r="K25" s="196"/>
      <c r="Q25" s="58"/>
      <c r="R25" s="58"/>
      <c r="S25" s="58"/>
      <c r="T25" s="143"/>
      <c r="U25" s="143"/>
      <c r="V25" s="58"/>
      <c r="W25" s="58"/>
    </row>
    <row r="26" spans="2:23" ht="13.25" customHeight="1">
      <c r="B26" s="138" t="s">
        <v>186</v>
      </c>
      <c r="C26" s="130">
        <f>(416)/(416+C19)</f>
        <v>9.2198581560283682E-2</v>
      </c>
      <c r="D26" s="139" t="s">
        <v>188</v>
      </c>
      <c r="E26" s="370"/>
      <c r="F26" s="353"/>
      <c r="G26" s="353"/>
      <c r="H26" s="353"/>
      <c r="I26" s="196"/>
      <c r="J26" s="196"/>
      <c r="K26" s="196"/>
      <c r="Q26" s="58"/>
      <c r="R26" s="58"/>
      <c r="S26" s="58"/>
      <c r="T26" s="143"/>
      <c r="U26" s="143"/>
      <c r="V26" s="58"/>
      <c r="W26" s="58"/>
    </row>
    <row r="27" spans="2:23" ht="24" customHeight="1">
      <c r="B27" s="138" t="s">
        <v>187</v>
      </c>
      <c r="C27" s="382">
        <f>C15*(196608)/(C15*(196608)+864000*C14*C4)</f>
        <v>5.2803210441795259E-7</v>
      </c>
      <c r="D27" s="139" t="s">
        <v>189</v>
      </c>
      <c r="E27" s="370"/>
      <c r="F27" s="353"/>
      <c r="G27" s="353"/>
      <c r="H27" s="353"/>
      <c r="I27" s="196"/>
      <c r="J27" s="196"/>
      <c r="K27" s="196"/>
      <c r="Q27" s="58"/>
      <c r="R27" s="58"/>
      <c r="S27" s="58"/>
      <c r="T27" s="143"/>
      <c r="U27" s="143"/>
      <c r="V27" s="58"/>
      <c r="W27" s="58"/>
    </row>
    <row r="28" spans="2:23" ht="16.25" customHeight="1">
      <c r="B28" s="138" t="s">
        <v>233</v>
      </c>
      <c r="C28" s="188">
        <f>8*C15*200/(8*C15*200+C14*C4)</f>
        <v>3.6989943359149232E-3</v>
      </c>
      <c r="D28" s="139" t="s">
        <v>234</v>
      </c>
      <c r="E28" s="376"/>
      <c r="F28" s="281"/>
      <c r="G28" s="281"/>
      <c r="H28" s="281"/>
      <c r="I28" s="196"/>
      <c r="J28" s="196"/>
      <c r="K28" s="196"/>
      <c r="N28" s="111"/>
      <c r="Q28" s="58"/>
      <c r="R28" s="58"/>
      <c r="S28" s="58"/>
      <c r="T28" s="58"/>
      <c r="U28" s="58"/>
      <c r="V28" s="58"/>
      <c r="W28" s="58"/>
    </row>
    <row r="29" spans="2:23">
      <c r="B29" s="138" t="s">
        <v>266</v>
      </c>
      <c r="C29" s="106">
        <f>C4</f>
        <v>17238000</v>
      </c>
      <c r="D29" s="139"/>
      <c r="E29" s="370"/>
      <c r="F29" s="377"/>
      <c r="G29" s="377"/>
      <c r="H29" s="377"/>
      <c r="I29" s="196"/>
      <c r="J29" s="196"/>
      <c r="K29" s="196"/>
      <c r="Q29" s="58"/>
      <c r="R29" s="58"/>
      <c r="S29" s="58"/>
      <c r="T29" s="58"/>
      <c r="U29" s="58"/>
      <c r="V29" s="58"/>
      <c r="W29" s="58"/>
    </row>
    <row r="30" spans="2:23" ht="13" thickBot="1">
      <c r="B30" s="140" t="s">
        <v>182</v>
      </c>
      <c r="C30" s="141">
        <f>C29/C11</f>
        <v>0.59882684784867324</v>
      </c>
      <c r="D30" s="142"/>
      <c r="E30" s="378"/>
      <c r="F30" s="281"/>
      <c r="G30" s="281"/>
      <c r="H30" s="281"/>
      <c r="I30" s="196"/>
      <c r="J30" s="196"/>
      <c r="K30" s="196"/>
      <c r="Q30" s="58"/>
      <c r="R30" s="58"/>
      <c r="S30" s="58"/>
      <c r="T30" s="58"/>
      <c r="U30" s="58"/>
      <c r="V30" s="58"/>
      <c r="W30" s="58"/>
    </row>
    <row r="31" spans="2:23" hidden="1">
      <c r="B31" s="115" t="s">
        <v>38</v>
      </c>
      <c r="C31" s="116">
        <f>130*8/C24</f>
        <v>0.13</v>
      </c>
      <c r="D31" s="117" t="s">
        <v>39</v>
      </c>
      <c r="E31" s="196"/>
      <c r="F31" s="196"/>
      <c r="G31" s="196"/>
      <c r="H31" s="196"/>
      <c r="I31" s="196"/>
      <c r="J31" s="196"/>
      <c r="K31" s="196"/>
      <c r="Q31" s="58"/>
      <c r="R31" s="58"/>
      <c r="S31" s="58"/>
      <c r="T31" s="58"/>
      <c r="U31" s="58"/>
      <c r="V31" s="58"/>
      <c r="W31" s="58"/>
    </row>
    <row r="32" spans="2:23" hidden="1">
      <c r="B32" s="118" t="s">
        <v>37</v>
      </c>
      <c r="C32" s="113">
        <v>0.5</v>
      </c>
      <c r="D32" s="119"/>
      <c r="E32" s="196"/>
      <c r="F32" s="196"/>
      <c r="G32" s="379"/>
      <c r="H32" s="196"/>
      <c r="I32" s="196"/>
      <c r="J32" s="196"/>
      <c r="K32" s="196"/>
      <c r="Q32" s="58"/>
      <c r="R32" s="58"/>
      <c r="S32" s="58"/>
      <c r="T32" s="58"/>
      <c r="U32" s="58"/>
      <c r="V32" s="58"/>
      <c r="W32" s="58"/>
    </row>
    <row r="33" spans="2:23" hidden="1">
      <c r="B33" s="118" t="s">
        <v>40</v>
      </c>
      <c r="C33" s="110">
        <f>C29*(1-C31)*C32/4.4</f>
        <v>1704211.3636363635</v>
      </c>
      <c r="D33" s="119" t="s">
        <v>47</v>
      </c>
      <c r="E33" s="196"/>
      <c r="F33" s="196"/>
      <c r="G33" s="196"/>
      <c r="H33" s="196"/>
      <c r="I33" s="354"/>
      <c r="J33" s="196"/>
      <c r="K33" s="196"/>
      <c r="Q33" s="58"/>
      <c r="R33" s="58"/>
      <c r="S33" s="58"/>
      <c r="T33" s="58"/>
      <c r="U33" s="58"/>
      <c r="V33" s="58"/>
      <c r="W33" s="58"/>
    </row>
    <row r="34" spans="2:23" hidden="1">
      <c r="B34" s="118" t="s">
        <v>41</v>
      </c>
      <c r="C34" s="110">
        <f>C29*(1-C31)/4.4</f>
        <v>3408422.7272727271</v>
      </c>
      <c r="D34" s="119" t="s">
        <v>47</v>
      </c>
      <c r="E34" s="196"/>
      <c r="F34" s="196"/>
      <c r="G34" s="196"/>
      <c r="H34" s="196"/>
      <c r="I34" s="196"/>
      <c r="J34" s="196"/>
      <c r="K34" s="196"/>
      <c r="Q34" s="58"/>
      <c r="R34" s="58"/>
      <c r="S34" s="58"/>
      <c r="T34" s="58"/>
      <c r="U34" s="58"/>
      <c r="V34" s="58"/>
      <c r="W34" s="58"/>
    </row>
    <row r="35" spans="2:23" ht="13" hidden="1" thickBot="1">
      <c r="B35" s="120" t="s">
        <v>46</v>
      </c>
      <c r="C35" s="121">
        <f>4.4*C34/C11</f>
        <v>0.5209793576283458</v>
      </c>
      <c r="D35" s="122"/>
      <c r="E35" s="196"/>
      <c r="F35" s="196"/>
      <c r="G35" s="196"/>
      <c r="H35" s="196"/>
      <c r="I35" s="196"/>
      <c r="J35" s="196"/>
      <c r="K35" s="196"/>
      <c r="Q35" s="58"/>
      <c r="R35" s="58"/>
      <c r="S35" s="58"/>
      <c r="T35" s="58"/>
      <c r="U35" s="58"/>
      <c r="V35" s="58"/>
      <c r="W35" s="58"/>
    </row>
    <row r="36" spans="2:23">
      <c r="E36" s="196"/>
      <c r="F36" s="196"/>
      <c r="G36" s="196"/>
      <c r="H36" s="196"/>
      <c r="I36" s="196"/>
      <c r="J36" s="196"/>
      <c r="K36" s="196"/>
      <c r="Q36" s="58"/>
      <c r="R36" s="58"/>
      <c r="S36" s="58"/>
      <c r="T36" s="58"/>
      <c r="U36" s="58"/>
      <c r="V36" s="58"/>
      <c r="W36" s="58"/>
    </row>
    <row r="37" spans="2:23" ht="13" thickBot="1">
      <c r="B37" s="132"/>
      <c r="C37" s="124"/>
      <c r="D37" s="132"/>
      <c r="E37" s="212" t="s">
        <v>142</v>
      </c>
      <c r="F37" s="318"/>
      <c r="G37" s="318"/>
      <c r="H37" s="318"/>
      <c r="I37" s="318"/>
      <c r="J37" s="318"/>
      <c r="K37" s="318"/>
      <c r="L37" s="132"/>
      <c r="Q37" s="58"/>
      <c r="R37" s="58"/>
      <c r="S37" s="58"/>
      <c r="T37" s="58"/>
      <c r="U37" s="58"/>
    </row>
    <row r="38" spans="2:23">
      <c r="E38" s="199" t="s">
        <v>104</v>
      </c>
      <c r="F38" s="200">
        <v>0.41</v>
      </c>
      <c r="G38" s="201"/>
      <c r="H38" s="445"/>
      <c r="I38" s="446"/>
      <c r="J38" s="446"/>
      <c r="K38" s="447"/>
      <c r="L38" s="132"/>
      <c r="Q38" s="58"/>
      <c r="R38" s="58"/>
      <c r="S38" s="58"/>
      <c r="T38" s="58"/>
      <c r="U38" s="58"/>
    </row>
    <row r="39" spans="2:23">
      <c r="E39" s="202" t="s">
        <v>103</v>
      </c>
      <c r="F39" s="203">
        <v>-20</v>
      </c>
      <c r="G39" s="204" t="s">
        <v>3</v>
      </c>
      <c r="H39" s="433" t="s">
        <v>105</v>
      </c>
      <c r="I39" s="434"/>
      <c r="J39" s="434"/>
      <c r="K39" s="435"/>
      <c r="L39" s="132"/>
      <c r="Q39" s="58"/>
      <c r="R39" s="58"/>
      <c r="S39" s="58"/>
      <c r="T39" s="58"/>
      <c r="U39" s="58"/>
    </row>
    <row r="40" spans="2:23" ht="13" thickBot="1">
      <c r="E40" s="205" t="s">
        <v>52</v>
      </c>
      <c r="F40" s="206">
        <f>C11/C1</f>
        <v>43179426.728933506</v>
      </c>
      <c r="G40" s="207" t="s">
        <v>47</v>
      </c>
      <c r="H40" s="442" t="s">
        <v>271</v>
      </c>
      <c r="I40" s="443"/>
      <c r="J40" s="443"/>
      <c r="K40" s="444"/>
      <c r="L40" s="132"/>
      <c r="Q40" s="58"/>
      <c r="R40" s="58"/>
      <c r="S40" s="58"/>
      <c r="T40" s="58"/>
      <c r="U40" s="58"/>
    </row>
    <row r="41" spans="2:23" ht="13.25" customHeight="1">
      <c r="E41" s="192" t="s">
        <v>53</v>
      </c>
      <c r="F41" s="208">
        <f>F40/'Req EbNo values'!D8</f>
        <v>10794856.682233376</v>
      </c>
      <c r="G41" s="193" t="s">
        <v>58</v>
      </c>
      <c r="H41" s="436" t="s">
        <v>273</v>
      </c>
      <c r="I41" s="437"/>
      <c r="J41" s="437"/>
      <c r="K41" s="438"/>
      <c r="L41" s="132"/>
      <c r="Q41" s="58"/>
      <c r="R41" s="58"/>
      <c r="S41" s="58"/>
      <c r="T41" s="58"/>
      <c r="U41" s="58"/>
    </row>
    <row r="42" spans="2:23" ht="13" thickBot="1">
      <c r="E42" s="209" t="s">
        <v>59</v>
      </c>
      <c r="F42" s="210">
        <f>F41*(2*F38*ASIN(1-2*10^(F39/10))/PI()+1)</f>
        <v>14656282.492203061</v>
      </c>
      <c r="G42" s="211" t="s">
        <v>14</v>
      </c>
      <c r="H42" s="439" t="s">
        <v>180</v>
      </c>
      <c r="I42" s="440"/>
      <c r="J42" s="440"/>
      <c r="K42" s="441"/>
      <c r="L42" s="132"/>
      <c r="Q42" s="58"/>
      <c r="R42" s="58"/>
      <c r="S42" s="58"/>
      <c r="T42" s="58"/>
      <c r="U42" s="58"/>
    </row>
    <row r="43" spans="2:23">
      <c r="E43" s="18"/>
      <c r="F43" s="282"/>
      <c r="G43" s="18"/>
      <c r="H43" s="451"/>
      <c r="I43" s="451"/>
      <c r="J43" s="451"/>
      <c r="K43" s="451"/>
      <c r="L43" s="132"/>
      <c r="Q43" s="58"/>
      <c r="R43" s="58"/>
      <c r="S43" s="58"/>
      <c r="T43" s="58"/>
      <c r="U43" s="58"/>
    </row>
    <row r="44" spans="2:23">
      <c r="E44" s="456" t="s">
        <v>241</v>
      </c>
      <c r="F44" s="456"/>
      <c r="G44" s="456"/>
      <c r="H44" s="451"/>
      <c r="I44" s="451"/>
      <c r="J44" s="451"/>
      <c r="K44" s="451"/>
      <c r="L44" s="132"/>
      <c r="Q44" s="58"/>
      <c r="R44" s="58"/>
      <c r="S44" s="58"/>
      <c r="T44" s="58"/>
      <c r="U44" s="58"/>
    </row>
    <row r="45" spans="2:23">
      <c r="E45" s="391" t="s">
        <v>256</v>
      </c>
      <c r="F45" s="392">
        <v>28.8</v>
      </c>
      <c r="G45" s="393" t="s">
        <v>242</v>
      </c>
      <c r="H45" s="452"/>
      <c r="I45" s="453"/>
      <c r="J45" s="453"/>
      <c r="K45" s="453"/>
      <c r="L45" s="196"/>
      <c r="Q45" s="58"/>
      <c r="R45" s="58"/>
      <c r="S45" s="58"/>
      <c r="T45" s="58"/>
      <c r="U45" s="58"/>
    </row>
    <row r="46" spans="2:23" ht="13.25" customHeight="1">
      <c r="E46" s="394" t="s">
        <v>243</v>
      </c>
      <c r="F46" s="151">
        <f>192*2/3</f>
        <v>128</v>
      </c>
      <c r="G46" s="393" t="s">
        <v>244</v>
      </c>
      <c r="H46" s="318"/>
      <c r="I46" s="318"/>
      <c r="J46" s="318"/>
      <c r="K46" s="318"/>
      <c r="L46" s="196"/>
      <c r="Q46" s="58"/>
    </row>
    <row r="47" spans="2:23" ht="13.25" customHeight="1">
      <c r="E47" s="394" t="s">
        <v>245</v>
      </c>
      <c r="F47" s="397">
        <f>F45/F46</f>
        <v>0.22500000000000001</v>
      </c>
      <c r="G47" s="395" t="s">
        <v>246</v>
      </c>
      <c r="H47" s="451"/>
      <c r="I47" s="451"/>
      <c r="J47" s="451"/>
      <c r="K47" s="451"/>
      <c r="L47" s="196"/>
    </row>
    <row r="48" spans="2:23" ht="13.25" customHeight="1">
      <c r="E48" s="394" t="s">
        <v>247</v>
      </c>
      <c r="F48" s="149">
        <f>F46/F45</f>
        <v>4.4444444444444446</v>
      </c>
      <c r="G48" s="396" t="s">
        <v>248</v>
      </c>
      <c r="H48" s="451"/>
      <c r="I48" s="451"/>
      <c r="J48" s="451"/>
      <c r="K48" s="451"/>
      <c r="L48" s="355"/>
      <c r="M48" s="321"/>
      <c r="N48" s="322"/>
      <c r="O48" s="322"/>
    </row>
    <row r="49" spans="3:15" s="64" customFormat="1" ht="13.25" customHeight="1">
      <c r="C49" s="323"/>
      <c r="E49" s="394" t="s">
        <v>249</v>
      </c>
      <c r="F49" s="149">
        <f>F48/1.25</f>
        <v>3.5555555555555558</v>
      </c>
      <c r="G49" s="396" t="s">
        <v>248</v>
      </c>
      <c r="H49" s="451"/>
      <c r="I49" s="451"/>
      <c r="J49" s="451"/>
      <c r="K49" s="451"/>
      <c r="L49" s="356"/>
      <c r="M49" s="325"/>
      <c r="N49" s="326"/>
      <c r="O49" s="326"/>
    </row>
    <row r="50" spans="3:15" ht="13.25" customHeight="1">
      <c r="E50" s="394" t="s">
        <v>250</v>
      </c>
      <c r="F50" s="152">
        <f>0.25*F49</f>
        <v>0.88888888888888895</v>
      </c>
      <c r="G50" s="396" t="s">
        <v>248</v>
      </c>
      <c r="H50" s="451"/>
      <c r="I50" s="451"/>
      <c r="J50" s="451"/>
      <c r="K50" s="451"/>
      <c r="L50" s="357"/>
      <c r="M50" s="321"/>
      <c r="N50" s="322"/>
      <c r="O50" s="322"/>
    </row>
    <row r="51" spans="3:15" ht="13.25" customHeight="1">
      <c r="E51" s="391" t="s">
        <v>251</v>
      </c>
      <c r="F51" s="392">
        <f>52/F49</f>
        <v>14.624999999999998</v>
      </c>
      <c r="G51" s="393" t="s">
        <v>252</v>
      </c>
      <c r="H51" s="451"/>
      <c r="I51" s="451"/>
      <c r="J51" s="451"/>
      <c r="K51" s="451"/>
      <c r="L51" s="357"/>
      <c r="M51" s="321"/>
      <c r="N51" s="322"/>
      <c r="O51" s="322"/>
    </row>
    <row r="52" spans="3:15" ht="13.25" customHeight="1">
      <c r="E52" s="328"/>
      <c r="F52" s="454"/>
      <c r="G52" s="455"/>
      <c r="H52" s="454"/>
      <c r="I52" s="455"/>
      <c r="J52" s="454"/>
      <c r="K52" s="455"/>
      <c r="L52" s="196"/>
      <c r="M52" s="321"/>
      <c r="N52" s="322"/>
      <c r="O52" s="322"/>
    </row>
    <row r="53" spans="3:15" ht="13.25" customHeight="1">
      <c r="E53" s="329"/>
      <c r="F53" s="450"/>
      <c r="G53" s="449"/>
      <c r="H53" s="450"/>
      <c r="I53" s="449"/>
      <c r="J53" s="450"/>
      <c r="K53" s="449"/>
      <c r="L53" s="132"/>
      <c r="M53" s="330"/>
      <c r="N53" s="322"/>
      <c r="O53" s="322"/>
    </row>
    <row r="54" spans="3:15" ht="13.25" customHeight="1">
      <c r="E54" s="329"/>
      <c r="F54" s="449"/>
      <c r="G54" s="449"/>
      <c r="H54" s="449"/>
      <c r="I54" s="449"/>
      <c r="J54" s="449"/>
      <c r="K54" s="449"/>
      <c r="L54" s="132"/>
    </row>
    <row r="55" spans="3:15" ht="13.25" customHeight="1">
      <c r="E55" s="329"/>
      <c r="F55" s="449"/>
      <c r="G55" s="449"/>
      <c r="H55" s="449"/>
      <c r="I55" s="449"/>
      <c r="J55" s="449"/>
      <c r="K55" s="449"/>
      <c r="L55" s="132"/>
    </row>
    <row r="56" spans="3:15">
      <c r="E56" s="329"/>
      <c r="F56" s="449"/>
      <c r="G56" s="449"/>
      <c r="H56" s="449"/>
      <c r="I56" s="449"/>
      <c r="J56" s="449"/>
      <c r="K56" s="449"/>
      <c r="L56" s="132"/>
    </row>
    <row r="57" spans="3:15">
      <c r="E57" s="329"/>
      <c r="F57" s="449"/>
      <c r="G57" s="449"/>
      <c r="H57" s="449"/>
      <c r="I57" s="449"/>
      <c r="J57" s="449"/>
      <c r="K57" s="449"/>
      <c r="L57" s="132"/>
    </row>
    <row r="58" spans="3:15">
      <c r="E58" s="329"/>
      <c r="F58" s="449"/>
      <c r="G58" s="449"/>
      <c r="H58" s="449"/>
      <c r="I58" s="449"/>
      <c r="J58" s="449"/>
      <c r="K58" s="449"/>
      <c r="L58" s="132"/>
    </row>
    <row r="59" spans="3:15">
      <c r="E59" s="329"/>
      <c r="F59" s="449"/>
      <c r="G59" s="449"/>
      <c r="H59" s="449"/>
      <c r="I59" s="449"/>
      <c r="J59" s="449"/>
      <c r="K59" s="449"/>
      <c r="L59" s="132"/>
    </row>
    <row r="60" spans="3:15">
      <c r="E60" s="132"/>
      <c r="F60" s="132"/>
      <c r="G60" s="132"/>
      <c r="H60" s="132"/>
      <c r="I60" s="132"/>
      <c r="J60" s="132"/>
      <c r="K60" s="132"/>
      <c r="L60" s="132"/>
    </row>
    <row r="61" spans="3:15">
      <c r="E61" s="132"/>
      <c r="F61" s="132"/>
      <c r="G61" s="132"/>
      <c r="H61" s="132"/>
      <c r="I61" s="132"/>
      <c r="J61" s="132"/>
      <c r="K61" s="132"/>
      <c r="L61" s="132"/>
    </row>
  </sheetData>
  <mergeCells count="43">
    <mergeCell ref="R1:T1"/>
    <mergeCell ref="U1:W1"/>
    <mergeCell ref="R2:T2"/>
    <mergeCell ref="U2:W2"/>
    <mergeCell ref="H39:K39"/>
    <mergeCell ref="H40:K40"/>
    <mergeCell ref="H41:K41"/>
    <mergeCell ref="H42:K42"/>
    <mergeCell ref="H38:K38"/>
    <mergeCell ref="E3:I3"/>
    <mergeCell ref="H43:K43"/>
    <mergeCell ref="H44:K44"/>
    <mergeCell ref="H45:K45"/>
    <mergeCell ref="H47:K47"/>
    <mergeCell ref="F52:G52"/>
    <mergeCell ref="H52:I52"/>
    <mergeCell ref="J52:K52"/>
    <mergeCell ref="H48:K48"/>
    <mergeCell ref="H49:K49"/>
    <mergeCell ref="E44:G44"/>
    <mergeCell ref="H50:K50"/>
    <mergeCell ref="H51:K51"/>
    <mergeCell ref="F53:G53"/>
    <mergeCell ref="H53:I53"/>
    <mergeCell ref="J53:K53"/>
    <mergeCell ref="F59:G59"/>
    <mergeCell ref="H59:I59"/>
    <mergeCell ref="J59:K59"/>
    <mergeCell ref="F56:G56"/>
    <mergeCell ref="H56:I56"/>
    <mergeCell ref="J56:K56"/>
    <mergeCell ref="F57:G57"/>
    <mergeCell ref="H57:I57"/>
    <mergeCell ref="J57:K57"/>
    <mergeCell ref="F58:G58"/>
    <mergeCell ref="H58:I58"/>
    <mergeCell ref="J58:K58"/>
    <mergeCell ref="F54:G54"/>
    <mergeCell ref="H54:I54"/>
    <mergeCell ref="J54:K54"/>
    <mergeCell ref="F55:G55"/>
    <mergeCell ref="H55:I55"/>
    <mergeCell ref="J55:K55"/>
  </mergeCells>
  <phoneticPr fontId="2" type="noConversion"/>
  <pageMargins left="0.75" right="0.75" top="1" bottom="1" header="0.5" footer="0.5"/>
  <pageSetup orientation="portrait"/>
  <headerFooter alignWithMargins="0"/>
  <legacy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W61"/>
  <sheetViews>
    <sheetView zoomScale="75" workbookViewId="0">
      <selection activeCell="E27" sqref="E27"/>
    </sheetView>
  </sheetViews>
  <sheetFormatPr baseColWidth="10" defaultColWidth="8.83203125" defaultRowHeight="12" x14ac:dyDescent="0"/>
  <cols>
    <col min="1" max="1" width="8.83203125" style="60"/>
    <col min="2" max="2" width="35.33203125" style="60" customWidth="1"/>
    <col min="3" max="3" width="12.5" style="58" customWidth="1"/>
    <col min="4" max="4" width="56.6640625" style="60" customWidth="1"/>
    <col min="5" max="5" width="45.5" style="60" customWidth="1"/>
    <col min="6" max="6" width="11.5" style="60" customWidth="1"/>
    <col min="7" max="7" width="8.33203125" style="60" customWidth="1"/>
    <col min="8" max="9" width="9.33203125" style="60" customWidth="1"/>
    <col min="10" max="10" width="13" style="60" customWidth="1"/>
    <col min="11" max="11" width="5.1640625" style="60" customWidth="1"/>
    <col min="12" max="12" width="13.5" style="60" customWidth="1"/>
    <col min="13" max="13" width="10.83203125" style="60" customWidth="1"/>
    <col min="14" max="14" width="8.83203125" style="60"/>
    <col min="15" max="15" width="10.5" style="60" customWidth="1"/>
    <col min="16" max="16" width="13.33203125" style="60" customWidth="1"/>
    <col min="17" max="17" width="18.5" style="60" customWidth="1"/>
    <col min="18" max="18" width="10.83203125" style="60" customWidth="1"/>
    <col min="19" max="19" width="7.6640625" style="60" customWidth="1"/>
    <col min="20" max="20" width="8.6640625" style="60" customWidth="1"/>
    <col min="21" max="21" width="11" style="60" customWidth="1"/>
    <col min="22" max="22" width="9.5" style="60" customWidth="1"/>
    <col min="23" max="23" width="9.83203125" style="60" customWidth="1"/>
    <col min="24" max="16384" width="8.83203125" style="60"/>
  </cols>
  <sheetData>
    <row r="1" spans="2:23">
      <c r="B1" s="102" t="s">
        <v>57</v>
      </c>
      <c r="C1" s="103">
        <v>0.66666666666666663</v>
      </c>
      <c r="R1" s="458"/>
      <c r="S1" s="459"/>
      <c r="T1" s="459"/>
      <c r="U1" s="458"/>
      <c r="V1" s="459"/>
      <c r="W1" s="459"/>
    </row>
    <row r="2" spans="2:23">
      <c r="B2" s="102" t="s">
        <v>55</v>
      </c>
      <c r="C2" s="104">
        <f>F49</f>
        <v>4.4444444444444446</v>
      </c>
      <c r="D2" s="60" t="s">
        <v>56</v>
      </c>
      <c r="F2" s="308"/>
      <c r="G2" s="308"/>
      <c r="H2" s="308"/>
      <c r="R2" s="458"/>
      <c r="S2" s="459"/>
      <c r="T2" s="459"/>
      <c r="U2" s="458"/>
      <c r="V2" s="459"/>
      <c r="W2" s="459"/>
    </row>
    <row r="3" spans="2:23" ht="13" thickBot="1">
      <c r="E3" s="461"/>
      <c r="F3" s="462"/>
      <c r="G3" s="462"/>
      <c r="H3" s="462"/>
      <c r="I3" s="462"/>
      <c r="J3" s="332"/>
      <c r="K3" s="58"/>
      <c r="L3" s="58"/>
      <c r="M3" s="58"/>
      <c r="Q3" s="58"/>
      <c r="R3" s="58"/>
      <c r="S3" s="309"/>
      <c r="T3" s="129"/>
      <c r="U3" s="58"/>
      <c r="V3" s="58"/>
      <c r="W3" s="58"/>
    </row>
    <row r="4" spans="2:23">
      <c r="B4" s="133" t="s">
        <v>262</v>
      </c>
      <c r="C4" s="403">
        <f>8.51*10^6</f>
        <v>8510000</v>
      </c>
      <c r="D4" s="135" t="s">
        <v>183</v>
      </c>
      <c r="E4" s="398"/>
      <c r="F4" s="333"/>
      <c r="G4" s="333"/>
      <c r="H4" s="333"/>
      <c r="I4" s="332"/>
      <c r="J4" s="332"/>
      <c r="Q4" s="58"/>
      <c r="R4" s="143"/>
      <c r="S4" s="309"/>
      <c r="T4" s="129"/>
      <c r="U4" s="58"/>
      <c r="V4" s="58"/>
      <c r="W4" s="58"/>
    </row>
    <row r="5" spans="2:23">
      <c r="B5" s="136" t="s">
        <v>172</v>
      </c>
      <c r="C5" s="310">
        <f>C30</f>
        <v>0.59113150461783714</v>
      </c>
      <c r="D5" s="137"/>
      <c r="E5" s="398"/>
      <c r="F5" s="334"/>
      <c r="G5" s="334"/>
      <c r="H5" s="334"/>
      <c r="I5" s="332"/>
      <c r="J5" s="332"/>
      <c r="Q5" s="58"/>
      <c r="R5" s="143"/>
      <c r="S5" s="58"/>
      <c r="T5" s="129"/>
      <c r="U5" s="58"/>
      <c r="V5" s="58"/>
      <c r="W5" s="58"/>
    </row>
    <row r="6" spans="2:23">
      <c r="B6" s="138" t="s">
        <v>263</v>
      </c>
      <c r="C6" s="311">
        <f>C4/C5</f>
        <v>14396119.87099497</v>
      </c>
      <c r="D6" s="137" t="s">
        <v>51</v>
      </c>
      <c r="E6" s="398"/>
      <c r="F6" s="334"/>
      <c r="G6" s="334"/>
      <c r="H6" s="334"/>
      <c r="I6" s="332"/>
      <c r="J6" s="332"/>
      <c r="Q6" s="58"/>
      <c r="R6" s="143"/>
      <c r="S6" s="58"/>
      <c r="T6" s="129"/>
      <c r="U6" s="58"/>
      <c r="V6" s="58"/>
      <c r="W6" s="58"/>
    </row>
    <row r="7" spans="2:23">
      <c r="B7" s="138" t="s">
        <v>176</v>
      </c>
      <c r="C7" s="110">
        <f>(C2*10^-6)*('Req EbNo values'!G6/C6)</f>
        <v>4.4456423379014777E-6</v>
      </c>
      <c r="D7" s="137" t="s">
        <v>94</v>
      </c>
      <c r="E7" s="398"/>
      <c r="F7" s="335"/>
      <c r="G7" s="336"/>
      <c r="H7" s="336"/>
      <c r="I7" s="332"/>
      <c r="J7" s="337"/>
      <c r="L7" s="129"/>
      <c r="M7" s="58"/>
      <c r="Q7" s="58"/>
      <c r="R7" s="313"/>
      <c r="S7" s="143"/>
      <c r="T7" s="129"/>
      <c r="U7" s="143"/>
      <c r="V7" s="58"/>
      <c r="W7" s="58"/>
    </row>
    <row r="8" spans="2:23">
      <c r="B8" s="138" t="s">
        <v>179</v>
      </c>
      <c r="C8" s="312">
        <f>52/(C7-F51*10^-6)</f>
        <v>14620074.386779893</v>
      </c>
      <c r="D8" s="137" t="s">
        <v>175</v>
      </c>
      <c r="E8" s="399"/>
      <c r="F8" s="338"/>
      <c r="G8" s="338"/>
      <c r="H8" s="338"/>
      <c r="I8" s="332"/>
      <c r="J8" s="337"/>
      <c r="L8" s="129"/>
      <c r="M8" s="58"/>
      <c r="N8" s="58"/>
      <c r="O8" s="58"/>
      <c r="P8" s="58"/>
      <c r="Q8" s="58"/>
      <c r="R8" s="143"/>
      <c r="S8" s="143"/>
      <c r="T8" s="129"/>
      <c r="U8" s="143"/>
      <c r="V8" s="58"/>
      <c r="W8" s="58"/>
    </row>
    <row r="9" spans="2:23">
      <c r="B9" s="314"/>
      <c r="C9" s="59"/>
      <c r="D9" s="315"/>
      <c r="E9" s="398"/>
      <c r="F9" s="339"/>
      <c r="G9" s="339"/>
      <c r="H9" s="339"/>
      <c r="I9" s="340"/>
      <c r="J9" s="331"/>
      <c r="L9" s="58"/>
      <c r="M9" s="58"/>
      <c r="Q9" s="58"/>
      <c r="R9" s="143"/>
      <c r="S9" s="143"/>
      <c r="T9" s="129"/>
      <c r="U9" s="143"/>
      <c r="V9" s="58"/>
      <c r="W9" s="58"/>
    </row>
    <row r="10" spans="2:23">
      <c r="B10" s="316" t="s">
        <v>268</v>
      </c>
      <c r="C10" s="59"/>
      <c r="D10" s="315"/>
      <c r="E10" s="398"/>
      <c r="F10" s="341"/>
      <c r="G10" s="337"/>
      <c r="H10" s="332"/>
      <c r="I10" s="332"/>
      <c r="J10" s="332"/>
      <c r="Q10" s="58"/>
      <c r="R10" s="143"/>
      <c r="S10" s="129"/>
      <c r="T10" s="129"/>
      <c r="U10" s="143"/>
      <c r="V10" s="58"/>
      <c r="W10" s="58"/>
    </row>
    <row r="11" spans="2:23">
      <c r="B11" s="138" t="s">
        <v>264</v>
      </c>
      <c r="C11" s="110">
        <f>C23/((1-C18)*(1-C13)*(1-C21)*(1-C22)*(1-C26)*(1-C25)*(1-C27)*(1-C28))</f>
        <v>14396119.87099497</v>
      </c>
      <c r="D11" s="139" t="s">
        <v>47</v>
      </c>
      <c r="E11" s="398"/>
      <c r="F11" s="342"/>
      <c r="G11" s="343"/>
      <c r="H11" s="342"/>
      <c r="I11" s="344"/>
      <c r="J11" s="332"/>
      <c r="Q11" s="58"/>
      <c r="R11" s="143"/>
      <c r="S11" s="129"/>
      <c r="T11" s="129"/>
      <c r="U11" s="143"/>
      <c r="V11" s="58"/>
      <c r="W11" s="58"/>
    </row>
    <row r="12" spans="2:23" ht="13.5" customHeight="1">
      <c r="B12" s="138" t="s">
        <v>43</v>
      </c>
      <c r="C12" s="130">
        <v>0.76</v>
      </c>
      <c r="D12" s="139" t="s">
        <v>226</v>
      </c>
      <c r="E12" s="398"/>
      <c r="F12" s="345"/>
      <c r="G12" s="345"/>
      <c r="H12" s="345"/>
      <c r="I12" s="332"/>
      <c r="J12" s="332"/>
      <c r="Q12" s="58"/>
      <c r="R12" s="143"/>
      <c r="S12" s="129"/>
      <c r="T12" s="129"/>
      <c r="U12" s="143"/>
      <c r="V12" s="58"/>
      <c r="W12" s="58"/>
    </row>
    <row r="13" spans="2:23" ht="15" customHeight="1">
      <c r="B13" s="138" t="s">
        <v>42</v>
      </c>
      <c r="C13" s="130">
        <f>1-0.92*C12</f>
        <v>0.30079999999999996</v>
      </c>
      <c r="D13" s="139" t="s">
        <v>44</v>
      </c>
      <c r="E13" s="398"/>
      <c r="F13" s="331"/>
      <c r="G13" s="331"/>
      <c r="H13" s="331"/>
      <c r="I13" s="332"/>
      <c r="J13" s="332"/>
      <c r="Q13" s="58"/>
      <c r="R13" s="313"/>
      <c r="S13" s="129"/>
      <c r="T13" s="129"/>
      <c r="U13" s="143"/>
      <c r="V13" s="58"/>
      <c r="W13" s="58"/>
    </row>
    <row r="14" spans="2:23">
      <c r="B14" s="138" t="s">
        <v>34</v>
      </c>
      <c r="C14" s="106">
        <v>0.1</v>
      </c>
      <c r="D14" s="139" t="s">
        <v>35</v>
      </c>
      <c r="E14" s="398"/>
      <c r="F14" s="345"/>
      <c r="G14" s="345"/>
      <c r="H14" s="345"/>
      <c r="I14" s="332"/>
      <c r="J14" s="332"/>
      <c r="Q14" s="58"/>
      <c r="R14" s="143"/>
      <c r="S14" s="129"/>
      <c r="T14" s="129"/>
      <c r="U14" s="143"/>
      <c r="V14" s="58"/>
      <c r="W14" s="58"/>
    </row>
    <row r="15" spans="2:23" ht="15">
      <c r="B15" s="138" t="s">
        <v>45</v>
      </c>
      <c r="C15" s="106">
        <v>4</v>
      </c>
      <c r="D15" s="139" t="s">
        <v>280</v>
      </c>
      <c r="E15" s="399"/>
      <c r="F15" s="346"/>
      <c r="G15" s="338"/>
      <c r="H15" s="346"/>
      <c r="I15" s="332"/>
      <c r="J15" s="332"/>
      <c r="Q15" s="58"/>
      <c r="R15" s="129"/>
      <c r="S15" s="129"/>
      <c r="T15" s="129"/>
      <c r="U15" s="143"/>
      <c r="V15" s="58"/>
      <c r="W15" s="58"/>
    </row>
    <row r="16" spans="2:23">
      <c r="B16" s="138" t="s">
        <v>235</v>
      </c>
      <c r="C16" s="106">
        <v>1</v>
      </c>
      <c r="D16" s="139" t="s">
        <v>283</v>
      </c>
      <c r="E16" s="399"/>
      <c r="F16" s="346"/>
      <c r="G16" s="338"/>
      <c r="H16" s="346"/>
      <c r="I16" s="332"/>
      <c r="J16" s="332"/>
      <c r="Q16" s="58"/>
      <c r="R16" s="129"/>
      <c r="S16" s="129"/>
      <c r="T16" s="129"/>
      <c r="U16" s="143"/>
      <c r="V16" s="58"/>
      <c r="W16" s="58"/>
    </row>
    <row r="17" spans="2:23" ht="23.25" customHeight="1">
      <c r="B17" s="138" t="s">
        <v>36</v>
      </c>
      <c r="C17" s="107">
        <f>'TA -&gt; GS (MC-QPSK)'!D11*1852/300000000</f>
        <v>6.1733333333333334E-4</v>
      </c>
      <c r="D17" s="139" t="s">
        <v>281</v>
      </c>
      <c r="E17" s="387"/>
      <c r="F17" s="338"/>
      <c r="G17" s="338"/>
      <c r="H17" s="338"/>
      <c r="I17" s="347"/>
      <c r="J17" s="332"/>
      <c r="Q17" s="58"/>
      <c r="R17" s="129"/>
      <c r="S17" s="129"/>
      <c r="T17" s="129"/>
      <c r="U17" s="143"/>
      <c r="V17" s="58"/>
      <c r="W17" s="58"/>
    </row>
    <row r="18" spans="2:23" ht="21" customHeight="1">
      <c r="B18" s="138" t="s">
        <v>33</v>
      </c>
      <c r="C18" s="130">
        <f>(2*C17+C15*7*10^-6)/((2*C17+C15*7*10^-6)+C14)</f>
        <v>1.2469221957417674E-2</v>
      </c>
      <c r="D18" s="139" t="s">
        <v>282</v>
      </c>
      <c r="E18" s="400"/>
      <c r="F18" s="348"/>
      <c r="G18" s="348"/>
      <c r="H18" s="348"/>
      <c r="I18" s="347"/>
      <c r="J18" s="332"/>
      <c r="Q18" s="58"/>
      <c r="R18" s="129"/>
      <c r="S18" s="129"/>
      <c r="T18" s="129"/>
      <c r="U18" s="143"/>
      <c r="V18" s="58"/>
      <c r="W18" s="58"/>
    </row>
    <row r="19" spans="2:23">
      <c r="B19" s="138" t="s">
        <v>177</v>
      </c>
      <c r="C19" s="106">
        <v>4096</v>
      </c>
      <c r="D19" s="139" t="s">
        <v>71</v>
      </c>
      <c r="E19" s="400"/>
      <c r="F19" s="339"/>
      <c r="G19" s="339"/>
      <c r="H19" s="339"/>
      <c r="I19" s="347"/>
      <c r="J19" s="332"/>
      <c r="Q19" s="58"/>
      <c r="R19" s="129"/>
      <c r="S19" s="129"/>
      <c r="T19" s="129"/>
      <c r="U19" s="143"/>
      <c r="V19" s="58"/>
      <c r="W19" s="58"/>
    </row>
    <row r="20" spans="2:23">
      <c r="B20" s="138" t="s">
        <v>32</v>
      </c>
      <c r="C20" s="187">
        <f>C19/48/C1</f>
        <v>128</v>
      </c>
      <c r="D20" s="139"/>
      <c r="E20" s="400"/>
      <c r="F20" s="349"/>
      <c r="G20" s="349"/>
      <c r="H20" s="349"/>
      <c r="I20" s="332"/>
      <c r="J20" s="332"/>
      <c r="Q20" s="58"/>
      <c r="R20" s="129"/>
      <c r="S20" s="129"/>
      <c r="T20" s="129"/>
      <c r="U20" s="143"/>
      <c r="V20" s="58"/>
      <c r="W20" s="58"/>
    </row>
    <row r="21" spans="2:23">
      <c r="B21" s="138" t="s">
        <v>48</v>
      </c>
      <c r="C21" s="130">
        <f>C15*C19/(C15*C19+C4*C14)</f>
        <v>1.8888981120242013E-2</v>
      </c>
      <c r="D21" s="139"/>
      <c r="E21" s="400"/>
      <c r="F21" s="332"/>
      <c r="G21" s="332"/>
      <c r="H21" s="332"/>
      <c r="I21" s="332"/>
      <c r="J21" s="332"/>
      <c r="Q21" s="58"/>
      <c r="R21" s="129"/>
      <c r="S21" s="129"/>
      <c r="T21" s="129"/>
      <c r="U21" s="58"/>
      <c r="V21" s="58"/>
      <c r="W21" s="58"/>
    </row>
    <row r="22" spans="2:23">
      <c r="B22" s="138" t="s">
        <v>28</v>
      </c>
      <c r="C22" s="130">
        <f>(64+24)/(64+24+C16*C19)</f>
        <v>2.1032504780114723E-2</v>
      </c>
      <c r="D22" s="139" t="s">
        <v>239</v>
      </c>
      <c r="E22" s="387"/>
      <c r="F22" s="350"/>
      <c r="G22" s="346"/>
      <c r="H22" s="350"/>
      <c r="I22" s="332"/>
      <c r="J22" s="332"/>
      <c r="Q22" s="58"/>
      <c r="R22" s="58"/>
      <c r="S22" s="58"/>
      <c r="T22" s="58"/>
      <c r="U22" s="58"/>
      <c r="V22" s="58"/>
      <c r="W22" s="58"/>
    </row>
    <row r="23" spans="2:23">
      <c r="B23" s="138" t="s">
        <v>265</v>
      </c>
      <c r="C23" s="107">
        <f>C29</f>
        <v>8510000</v>
      </c>
      <c r="D23" s="139"/>
      <c r="E23" s="400"/>
      <c r="F23" s="345"/>
      <c r="G23" s="345"/>
      <c r="H23" s="345"/>
      <c r="I23" s="332"/>
      <c r="J23" s="332"/>
      <c r="Q23" s="58"/>
      <c r="R23" s="58"/>
      <c r="S23" s="58"/>
      <c r="T23" s="58"/>
      <c r="U23" s="58"/>
      <c r="V23" s="58"/>
      <c r="W23" s="58"/>
    </row>
    <row r="24" spans="2:23" ht="13.25" customHeight="1">
      <c r="B24" s="138" t="s">
        <v>29</v>
      </c>
      <c r="C24" s="106">
        <f>8000</f>
        <v>8000</v>
      </c>
      <c r="D24" s="139" t="s">
        <v>30</v>
      </c>
      <c r="E24" s="387"/>
      <c r="F24" s="338"/>
      <c r="G24" s="338"/>
      <c r="H24" s="338"/>
      <c r="I24" s="332"/>
      <c r="J24" s="351"/>
      <c r="Q24" s="58"/>
      <c r="R24" s="58"/>
      <c r="S24" s="58"/>
      <c r="T24" s="143"/>
      <c r="U24" s="143"/>
      <c r="V24" s="58"/>
      <c r="W24" s="58"/>
    </row>
    <row r="25" spans="2:23" ht="27.75" customHeight="1">
      <c r="B25" s="138" t="s">
        <v>101</v>
      </c>
      <c r="C25" s="130">
        <f>2/(2+256)+3*8/(3*8+C24)</f>
        <v>1.0742964903738397E-2</v>
      </c>
      <c r="D25" s="139" t="s">
        <v>102</v>
      </c>
      <c r="E25" s="387"/>
      <c r="F25" s="338"/>
      <c r="G25" s="338"/>
      <c r="H25" s="338"/>
      <c r="I25" s="332"/>
      <c r="J25" s="332"/>
      <c r="Q25" s="58"/>
      <c r="R25" s="58"/>
      <c r="S25" s="58"/>
      <c r="T25" s="143"/>
      <c r="U25" s="143"/>
      <c r="V25" s="58"/>
      <c r="W25" s="58"/>
    </row>
    <row r="26" spans="2:23" ht="16.25" customHeight="1">
      <c r="B26" s="138" t="s">
        <v>186</v>
      </c>
      <c r="C26" s="130">
        <f>(416)/(416+C19)</f>
        <v>9.2198581560283682E-2</v>
      </c>
      <c r="D26" s="139" t="s">
        <v>188</v>
      </c>
      <c r="E26" s="387"/>
      <c r="F26" s="338"/>
      <c r="G26" s="338"/>
      <c r="H26" s="338"/>
      <c r="I26" s="332"/>
      <c r="J26" s="332"/>
      <c r="Q26" s="58"/>
      <c r="R26" s="58"/>
      <c r="S26" s="58"/>
      <c r="T26" s="143"/>
      <c r="U26" s="143"/>
      <c r="V26" s="58"/>
      <c r="W26" s="58"/>
    </row>
    <row r="27" spans="2:23" ht="26.25" customHeight="1">
      <c r="B27" s="138" t="s">
        <v>187</v>
      </c>
      <c r="C27" s="382">
        <f>C15*(196608)/(C15*(196608)+864000*C14*C4)</f>
        <v>1.0695901864365052E-6</v>
      </c>
      <c r="D27" s="139" t="s">
        <v>189</v>
      </c>
      <c r="E27" s="387"/>
      <c r="F27" s="338"/>
      <c r="G27" s="338"/>
      <c r="H27" s="338"/>
      <c r="I27" s="332"/>
      <c r="J27" s="332"/>
      <c r="Q27" s="58"/>
      <c r="R27" s="58"/>
      <c r="S27" s="58"/>
      <c r="T27" s="143"/>
      <c r="U27" s="143"/>
      <c r="V27" s="58"/>
      <c r="W27" s="58"/>
    </row>
    <row r="28" spans="2:23" ht="16.25" customHeight="1">
      <c r="B28" s="138" t="s">
        <v>233</v>
      </c>
      <c r="C28" s="188">
        <f>8*C15*200/(8*C15*200+C14*C4)</f>
        <v>7.4644273384651275E-3</v>
      </c>
      <c r="D28" s="139" t="s">
        <v>234</v>
      </c>
      <c r="E28" s="401"/>
      <c r="F28" s="331"/>
      <c r="G28" s="331"/>
      <c r="H28" s="331"/>
      <c r="I28" s="332"/>
      <c r="J28" s="332"/>
      <c r="N28" s="111"/>
      <c r="Q28" s="58"/>
      <c r="R28" s="58"/>
      <c r="S28" s="58"/>
      <c r="T28" s="58"/>
      <c r="U28" s="58"/>
      <c r="V28" s="58"/>
      <c r="W28" s="58"/>
    </row>
    <row r="29" spans="2:23">
      <c r="B29" s="138" t="s">
        <v>266</v>
      </c>
      <c r="C29" s="106">
        <f>C4</f>
        <v>8510000</v>
      </c>
      <c r="D29" s="139"/>
      <c r="E29" s="387"/>
      <c r="F29" s="352"/>
      <c r="G29" s="352"/>
      <c r="H29" s="352"/>
      <c r="I29" s="332"/>
      <c r="J29" s="332"/>
      <c r="Q29" s="58"/>
      <c r="R29" s="58"/>
      <c r="S29" s="58"/>
      <c r="T29" s="58"/>
      <c r="U29" s="58"/>
      <c r="V29" s="58"/>
      <c r="W29" s="58"/>
    </row>
    <row r="30" spans="2:23" ht="13" thickBot="1">
      <c r="B30" s="140" t="s">
        <v>182</v>
      </c>
      <c r="C30" s="141">
        <f>C29/C11</f>
        <v>0.59113150461783714</v>
      </c>
      <c r="D30" s="142"/>
      <c r="E30" s="402"/>
      <c r="F30" s="331"/>
      <c r="G30" s="331"/>
      <c r="H30" s="331"/>
      <c r="I30" s="332"/>
      <c r="J30" s="332"/>
      <c r="Q30" s="58"/>
      <c r="R30" s="58"/>
      <c r="S30" s="58"/>
      <c r="T30" s="58"/>
      <c r="U30" s="58"/>
      <c r="V30" s="58"/>
      <c r="W30" s="58"/>
    </row>
    <row r="31" spans="2:23" hidden="1">
      <c r="B31" s="115" t="s">
        <v>38</v>
      </c>
      <c r="C31" s="116">
        <f>130*8/C24</f>
        <v>0.13</v>
      </c>
      <c r="D31" s="117" t="s">
        <v>39</v>
      </c>
      <c r="Q31" s="58"/>
      <c r="R31" s="58"/>
      <c r="S31" s="58"/>
      <c r="T31" s="58"/>
      <c r="U31" s="58"/>
      <c r="V31" s="58"/>
      <c r="W31" s="58"/>
    </row>
    <row r="32" spans="2:23" hidden="1">
      <c r="B32" s="118" t="s">
        <v>37</v>
      </c>
      <c r="C32" s="113">
        <v>0.5</v>
      </c>
      <c r="D32" s="119"/>
      <c r="G32" s="308"/>
      <c r="Q32" s="58"/>
      <c r="R32" s="58"/>
      <c r="S32" s="58"/>
      <c r="T32" s="58"/>
      <c r="U32" s="58"/>
      <c r="V32" s="58"/>
      <c r="W32" s="58"/>
    </row>
    <row r="33" spans="2:23" hidden="1">
      <c r="B33" s="118" t="s">
        <v>40</v>
      </c>
      <c r="C33" s="110">
        <f>C29*(1-C31)*C32/4.4</f>
        <v>841329.54545454541</v>
      </c>
      <c r="D33" s="119" t="s">
        <v>47</v>
      </c>
      <c r="I33" s="108"/>
      <c r="Q33" s="58"/>
      <c r="R33" s="58"/>
      <c r="S33" s="58"/>
      <c r="T33" s="58"/>
      <c r="U33" s="58"/>
      <c r="V33" s="58"/>
      <c r="W33" s="58"/>
    </row>
    <row r="34" spans="2:23" hidden="1">
      <c r="B34" s="118" t="s">
        <v>41</v>
      </c>
      <c r="C34" s="110">
        <f>C29*(1-C31)/4.4</f>
        <v>1682659.0909090908</v>
      </c>
      <c r="D34" s="119" t="s">
        <v>47</v>
      </c>
      <c r="Q34" s="58"/>
      <c r="R34" s="58"/>
      <c r="S34" s="58"/>
      <c r="T34" s="58"/>
      <c r="U34" s="58"/>
      <c r="V34" s="58"/>
      <c r="W34" s="58"/>
    </row>
    <row r="35" spans="2:23" ht="13" hidden="1" thickBot="1">
      <c r="B35" s="120" t="s">
        <v>46</v>
      </c>
      <c r="C35" s="121">
        <f>4.4*C34/C11</f>
        <v>0.51428440901751826</v>
      </c>
      <c r="D35" s="122"/>
      <c r="Q35" s="58"/>
      <c r="R35" s="58"/>
      <c r="S35" s="58"/>
      <c r="T35" s="58"/>
      <c r="U35" s="58"/>
      <c r="V35" s="58"/>
      <c r="W35" s="58"/>
    </row>
    <row r="36" spans="2:23">
      <c r="E36" s="196"/>
      <c r="F36" s="196"/>
      <c r="G36" s="196"/>
      <c r="H36" s="196"/>
      <c r="I36" s="196"/>
      <c r="J36" s="196"/>
      <c r="K36" s="196"/>
      <c r="Q36" s="58"/>
      <c r="R36" s="58"/>
      <c r="S36" s="58"/>
      <c r="T36" s="58"/>
      <c r="U36" s="58"/>
      <c r="V36" s="58"/>
      <c r="W36" s="58"/>
    </row>
    <row r="37" spans="2:23" ht="13" thickBot="1">
      <c r="B37" s="132"/>
      <c r="C37" s="124"/>
      <c r="D37" s="132"/>
      <c r="E37" s="212" t="s">
        <v>142</v>
      </c>
      <c r="F37" s="318"/>
      <c r="G37" s="318"/>
      <c r="H37" s="318"/>
      <c r="I37" s="318"/>
      <c r="J37" s="318"/>
      <c r="K37" s="318"/>
      <c r="L37" s="132"/>
      <c r="Q37" s="58"/>
      <c r="R37" s="58"/>
      <c r="S37" s="58"/>
      <c r="T37" s="58"/>
      <c r="U37" s="58"/>
    </row>
    <row r="38" spans="2:23">
      <c r="E38" s="199" t="s">
        <v>104</v>
      </c>
      <c r="F38" s="200">
        <v>0.41</v>
      </c>
      <c r="G38" s="201"/>
      <c r="H38" s="445"/>
      <c r="I38" s="446"/>
      <c r="J38" s="446"/>
      <c r="K38" s="447"/>
      <c r="L38" s="132"/>
      <c r="Q38" s="58"/>
      <c r="R38" s="58"/>
      <c r="S38" s="58"/>
      <c r="T38" s="58"/>
      <c r="U38" s="58"/>
    </row>
    <row r="39" spans="2:23">
      <c r="E39" s="202" t="s">
        <v>103</v>
      </c>
      <c r="F39" s="203">
        <v>-20</v>
      </c>
      <c r="G39" s="204" t="s">
        <v>3</v>
      </c>
      <c r="H39" s="433" t="s">
        <v>105</v>
      </c>
      <c r="I39" s="434"/>
      <c r="J39" s="434"/>
      <c r="K39" s="435"/>
      <c r="L39" s="132"/>
      <c r="Q39" s="58"/>
      <c r="R39" s="58"/>
      <c r="S39" s="58"/>
      <c r="T39" s="58"/>
      <c r="U39" s="58"/>
    </row>
    <row r="40" spans="2:23" ht="13" thickBot="1">
      <c r="E40" s="205" t="s">
        <v>52</v>
      </c>
      <c r="F40" s="206">
        <f>C11/C1</f>
        <v>21594179.806492455</v>
      </c>
      <c r="G40" s="207" t="s">
        <v>47</v>
      </c>
      <c r="H40" s="442" t="s">
        <v>271</v>
      </c>
      <c r="I40" s="443"/>
      <c r="J40" s="443"/>
      <c r="K40" s="444"/>
      <c r="L40" s="132"/>
      <c r="Q40" s="58"/>
      <c r="R40" s="58"/>
      <c r="S40" s="58"/>
      <c r="T40" s="58"/>
      <c r="U40" s="58"/>
    </row>
    <row r="41" spans="2:23">
      <c r="E41" s="192" t="s">
        <v>53</v>
      </c>
      <c r="F41" s="208">
        <f>F40/'Req EbNo values'!D5</f>
        <v>10797089.903246228</v>
      </c>
      <c r="G41" s="193" t="s">
        <v>58</v>
      </c>
      <c r="H41" s="436" t="s">
        <v>274</v>
      </c>
      <c r="I41" s="437"/>
      <c r="J41" s="437"/>
      <c r="K41" s="438"/>
      <c r="L41" s="132"/>
      <c r="Q41" s="58"/>
      <c r="R41" s="58"/>
      <c r="S41" s="58"/>
      <c r="T41" s="58"/>
      <c r="U41" s="58"/>
    </row>
    <row r="42" spans="2:23" ht="13" thickBot="1">
      <c r="E42" s="209" t="s">
        <v>59</v>
      </c>
      <c r="F42" s="210">
        <f>F41*(2*F38*ASIN(1-2*10^(F39/10))/PI()+1)</f>
        <v>14659314.558213325</v>
      </c>
      <c r="G42" s="211" t="s">
        <v>14</v>
      </c>
      <c r="H42" s="439" t="s">
        <v>181</v>
      </c>
      <c r="I42" s="440"/>
      <c r="J42" s="440"/>
      <c r="K42" s="441"/>
      <c r="L42" s="132"/>
      <c r="Q42" s="58"/>
      <c r="R42" s="58"/>
      <c r="S42" s="58"/>
      <c r="T42" s="58"/>
      <c r="U42" s="58"/>
    </row>
    <row r="43" spans="2:23">
      <c r="E43" s="19"/>
      <c r="F43" s="319"/>
      <c r="G43" s="19"/>
      <c r="H43" s="460"/>
      <c r="I43" s="460"/>
      <c r="J43" s="460"/>
      <c r="K43" s="460"/>
      <c r="L43" s="132"/>
      <c r="Q43" s="58"/>
      <c r="R43" s="58"/>
      <c r="S43" s="58"/>
      <c r="T43" s="58"/>
      <c r="U43" s="58"/>
    </row>
    <row r="44" spans="2:23">
      <c r="E44" s="456" t="s">
        <v>253</v>
      </c>
      <c r="F44" s="456"/>
      <c r="G44" s="456"/>
      <c r="H44" s="318"/>
      <c r="I44" s="318"/>
      <c r="J44" s="318"/>
      <c r="K44" s="318"/>
      <c r="L44" s="132"/>
      <c r="Q44" s="58"/>
    </row>
    <row r="45" spans="2:23" ht="13.25" hidden="1" customHeight="1">
      <c r="E45" s="456" t="s">
        <v>254</v>
      </c>
      <c r="F45" s="456"/>
      <c r="G45" s="456"/>
      <c r="H45" s="451"/>
      <c r="I45" s="451"/>
      <c r="J45" s="451"/>
      <c r="K45" s="451"/>
      <c r="L45" s="132"/>
    </row>
    <row r="46" spans="2:23" ht="13.25" customHeight="1">
      <c r="E46" s="391" t="s">
        <v>256</v>
      </c>
      <c r="F46" s="392">
        <v>14.4</v>
      </c>
      <c r="G46" s="393" t="s">
        <v>242</v>
      </c>
      <c r="H46" s="451"/>
      <c r="I46" s="451"/>
      <c r="J46" s="451"/>
      <c r="K46" s="451"/>
      <c r="L46" s="320"/>
      <c r="M46" s="321"/>
      <c r="N46" s="322"/>
      <c r="O46" s="322"/>
    </row>
    <row r="47" spans="2:23" s="64" customFormat="1" ht="13.25" customHeight="1">
      <c r="C47" s="323"/>
      <c r="E47" s="394" t="s">
        <v>243</v>
      </c>
      <c r="F47" s="151">
        <f>96*2/3</f>
        <v>64</v>
      </c>
      <c r="G47" s="393" t="s">
        <v>244</v>
      </c>
      <c r="H47" s="451"/>
      <c r="I47" s="451"/>
      <c r="J47" s="451"/>
      <c r="K47" s="451"/>
      <c r="L47" s="324"/>
      <c r="M47" s="325"/>
      <c r="N47" s="326"/>
      <c r="O47" s="326"/>
    </row>
    <row r="48" spans="2:23" ht="13.25" customHeight="1">
      <c r="E48" s="394" t="s">
        <v>245</v>
      </c>
      <c r="F48" s="397">
        <f>F46/F47</f>
        <v>0.22500000000000001</v>
      </c>
      <c r="G48" s="395" t="s">
        <v>246</v>
      </c>
      <c r="H48" s="451"/>
      <c r="I48" s="451"/>
      <c r="J48" s="451"/>
      <c r="K48" s="451"/>
      <c r="L48" s="327"/>
      <c r="M48" s="321"/>
      <c r="N48" s="322"/>
      <c r="O48" s="322"/>
    </row>
    <row r="49" spans="5:15" ht="13.25" customHeight="1">
      <c r="E49" s="394" t="s">
        <v>247</v>
      </c>
      <c r="F49" s="149">
        <f>F47/F46</f>
        <v>4.4444444444444446</v>
      </c>
      <c r="G49" s="396" t="s">
        <v>248</v>
      </c>
      <c r="H49" s="451"/>
      <c r="I49" s="451"/>
      <c r="J49" s="451"/>
      <c r="K49" s="451"/>
      <c r="L49" s="327"/>
      <c r="M49" s="321"/>
      <c r="N49" s="322"/>
      <c r="O49" s="322"/>
    </row>
    <row r="50" spans="5:15" ht="18" customHeight="1">
      <c r="E50" s="394" t="s">
        <v>249</v>
      </c>
      <c r="F50" s="149">
        <f>F49/1.25</f>
        <v>3.5555555555555558</v>
      </c>
      <c r="G50" s="396" t="s">
        <v>248</v>
      </c>
      <c r="H50" s="455"/>
      <c r="I50" s="455"/>
      <c r="J50" s="455"/>
      <c r="K50" s="455"/>
      <c r="L50" s="317"/>
      <c r="M50" s="321"/>
      <c r="N50" s="322"/>
      <c r="O50" s="322"/>
    </row>
    <row r="51" spans="5:15">
      <c r="E51" s="394" t="s">
        <v>250</v>
      </c>
      <c r="F51" s="152">
        <f>0.25*F50</f>
        <v>0.88888888888888895</v>
      </c>
      <c r="G51" s="396" t="s">
        <v>248</v>
      </c>
      <c r="H51" s="455"/>
      <c r="I51" s="455"/>
      <c r="J51" s="455"/>
      <c r="K51" s="455"/>
      <c r="L51" s="317"/>
      <c r="M51" s="321"/>
      <c r="N51" s="322"/>
      <c r="O51" s="322"/>
    </row>
    <row r="52" spans="5:15">
      <c r="E52" s="391" t="s">
        <v>251</v>
      </c>
      <c r="F52" s="392">
        <f>52/F50</f>
        <v>14.624999999999998</v>
      </c>
      <c r="G52" s="393" t="s">
        <v>252</v>
      </c>
      <c r="H52" s="450"/>
      <c r="I52" s="449"/>
      <c r="J52" s="450"/>
      <c r="K52" s="449"/>
      <c r="L52" s="317"/>
      <c r="M52" s="321"/>
      <c r="N52" s="322"/>
      <c r="O52" s="322"/>
    </row>
    <row r="53" spans="5:15">
      <c r="E53" s="329"/>
      <c r="F53" s="450"/>
      <c r="G53" s="449"/>
      <c r="H53" s="450"/>
      <c r="I53" s="449"/>
      <c r="J53" s="450"/>
      <c r="K53" s="449"/>
      <c r="L53" s="132"/>
      <c r="M53" s="330"/>
      <c r="N53" s="322"/>
      <c r="O53" s="322"/>
    </row>
    <row r="54" spans="5:15">
      <c r="E54" s="329"/>
      <c r="F54" s="449"/>
      <c r="G54" s="449"/>
      <c r="H54" s="449"/>
      <c r="I54" s="449"/>
      <c r="J54" s="449"/>
      <c r="K54" s="449"/>
      <c r="L54" s="132"/>
    </row>
    <row r="55" spans="5:15">
      <c r="E55" s="329"/>
      <c r="F55" s="449"/>
      <c r="G55" s="449"/>
      <c r="H55" s="449"/>
      <c r="I55" s="449"/>
      <c r="J55" s="449"/>
      <c r="K55" s="449"/>
      <c r="L55" s="132"/>
    </row>
    <row r="56" spans="5:15">
      <c r="E56" s="329"/>
      <c r="F56" s="449"/>
      <c r="G56" s="449"/>
      <c r="H56" s="449"/>
      <c r="I56" s="449"/>
      <c r="J56" s="449"/>
      <c r="K56" s="449"/>
      <c r="L56" s="132"/>
    </row>
    <row r="57" spans="5:15">
      <c r="E57" s="329"/>
      <c r="F57" s="449"/>
      <c r="G57" s="449"/>
      <c r="H57" s="449"/>
      <c r="I57" s="449"/>
      <c r="J57" s="449"/>
      <c r="K57" s="449"/>
      <c r="L57" s="132"/>
    </row>
    <row r="58" spans="5:15">
      <c r="E58" s="329"/>
      <c r="F58" s="449"/>
      <c r="G58" s="449"/>
      <c r="H58" s="449"/>
      <c r="I58" s="449"/>
      <c r="J58" s="449"/>
      <c r="K58" s="449"/>
      <c r="L58" s="132"/>
    </row>
    <row r="59" spans="5:15">
      <c r="E59" s="329"/>
      <c r="F59" s="449"/>
      <c r="G59" s="449"/>
      <c r="H59" s="449"/>
      <c r="I59" s="449"/>
      <c r="J59" s="449"/>
      <c r="K59" s="449"/>
      <c r="L59" s="132"/>
    </row>
    <row r="60" spans="5:15">
      <c r="E60" s="132"/>
      <c r="F60" s="132"/>
      <c r="G60" s="132"/>
      <c r="H60" s="132"/>
      <c r="I60" s="132"/>
      <c r="J60" s="132"/>
      <c r="K60" s="132"/>
      <c r="L60" s="132"/>
    </row>
    <row r="61" spans="5:15">
      <c r="E61" s="132"/>
      <c r="F61" s="132"/>
      <c r="G61" s="132"/>
      <c r="H61" s="132"/>
      <c r="I61" s="132"/>
      <c r="J61" s="132"/>
      <c r="K61" s="132"/>
      <c r="L61" s="132"/>
    </row>
  </sheetData>
  <mergeCells count="45">
    <mergeCell ref="H38:K38"/>
    <mergeCell ref="E3:I3"/>
    <mergeCell ref="R1:T1"/>
    <mergeCell ref="U1:W1"/>
    <mergeCell ref="R2:T2"/>
    <mergeCell ref="U2:W2"/>
    <mergeCell ref="H43:K43"/>
    <mergeCell ref="H45:K45"/>
    <mergeCell ref="H46:K46"/>
    <mergeCell ref="H47:K47"/>
    <mergeCell ref="H39:K39"/>
    <mergeCell ref="H40:K40"/>
    <mergeCell ref="H41:K41"/>
    <mergeCell ref="H42:K42"/>
    <mergeCell ref="J51:K51"/>
    <mergeCell ref="H52:I52"/>
    <mergeCell ref="J52:K52"/>
    <mergeCell ref="H48:K48"/>
    <mergeCell ref="H49:K49"/>
    <mergeCell ref="H50:I50"/>
    <mergeCell ref="J50:K50"/>
    <mergeCell ref="J55:K55"/>
    <mergeCell ref="F56:G56"/>
    <mergeCell ref="H56:I56"/>
    <mergeCell ref="J56:K56"/>
    <mergeCell ref="J53:K53"/>
    <mergeCell ref="F54:G54"/>
    <mergeCell ref="H54:I54"/>
    <mergeCell ref="J54:K54"/>
    <mergeCell ref="J59:K59"/>
    <mergeCell ref="F57:G57"/>
    <mergeCell ref="H57:I57"/>
    <mergeCell ref="J57:K57"/>
    <mergeCell ref="F58:G58"/>
    <mergeCell ref="H58:I58"/>
    <mergeCell ref="J58:K58"/>
    <mergeCell ref="E44:G44"/>
    <mergeCell ref="E45:G45"/>
    <mergeCell ref="F59:G59"/>
    <mergeCell ref="H59:I59"/>
    <mergeCell ref="F55:G55"/>
    <mergeCell ref="H55:I55"/>
    <mergeCell ref="F53:G53"/>
    <mergeCell ref="H53:I53"/>
    <mergeCell ref="H51:I51"/>
  </mergeCells>
  <phoneticPr fontId="2" type="noConversion"/>
  <pageMargins left="0.75" right="0.75" top="1" bottom="1" header="0.5" footer="0.5"/>
  <pageSetup orientation="portrait"/>
  <headerFooter alignWithMargins="0"/>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29"/>
  <sheetViews>
    <sheetView zoomScale="125" zoomScaleNormal="125" zoomScalePageLayoutView="125" workbookViewId="0">
      <selection activeCell="G29" sqref="G29:H29"/>
    </sheetView>
  </sheetViews>
  <sheetFormatPr baseColWidth="10" defaultColWidth="8.83203125" defaultRowHeight="12" x14ac:dyDescent="0"/>
  <cols>
    <col min="2" max="2" width="31.5" customWidth="1"/>
    <col min="3" max="3" width="13" customWidth="1"/>
    <col min="4" max="4" width="11.6640625" customWidth="1"/>
    <col min="5" max="5" width="10.1640625" customWidth="1"/>
    <col min="13" max="13" width="12.5" bestFit="1" customWidth="1"/>
  </cols>
  <sheetData>
    <row r="2" spans="2:13" ht="13" thickBot="1"/>
    <row r="3" spans="2:13">
      <c r="B3" s="425" t="s">
        <v>190</v>
      </c>
      <c r="C3" s="426"/>
      <c r="D3" s="426"/>
      <c r="E3" s="426"/>
      <c r="F3" s="426"/>
      <c r="G3" s="426"/>
      <c r="H3" s="427"/>
    </row>
    <row r="4" spans="2:13">
      <c r="B4" s="428" t="s">
        <v>191</v>
      </c>
      <c r="C4" s="408" t="s">
        <v>192</v>
      </c>
      <c r="D4" s="409"/>
      <c r="E4" s="410" t="s">
        <v>193</v>
      </c>
      <c r="F4" s="411"/>
      <c r="G4" s="430"/>
      <c r="H4" s="424"/>
    </row>
    <row r="5" spans="2:13" ht="13" thickBot="1">
      <c r="B5" s="429"/>
      <c r="C5" s="412"/>
      <c r="D5" s="413"/>
      <c r="E5" s="431" t="s">
        <v>194</v>
      </c>
      <c r="F5" s="415"/>
      <c r="G5" s="415" t="s">
        <v>195</v>
      </c>
      <c r="H5" s="413"/>
    </row>
    <row r="6" spans="2:13" ht="15">
      <c r="B6" s="383" t="s">
        <v>196</v>
      </c>
      <c r="C6" s="419">
        <v>0.66666666666666663</v>
      </c>
      <c r="D6" s="420"/>
      <c r="E6" s="421">
        <v>0.66666666666666663</v>
      </c>
      <c r="F6" s="422"/>
      <c r="G6" s="423">
        <v>0.66666666666666663</v>
      </c>
      <c r="H6" s="420"/>
    </row>
    <row r="7" spans="2:13" ht="15">
      <c r="B7" s="384" t="s">
        <v>197</v>
      </c>
      <c r="C7" s="408">
        <v>4</v>
      </c>
      <c r="D7" s="424"/>
      <c r="E7" s="410">
        <v>4</v>
      </c>
      <c r="F7" s="411"/>
      <c r="G7" s="411">
        <v>16</v>
      </c>
      <c r="H7" s="409"/>
    </row>
    <row r="8" spans="2:13" ht="15">
      <c r="B8" s="384" t="s">
        <v>198</v>
      </c>
      <c r="C8" s="408">
        <v>1</v>
      </c>
      <c r="D8" s="409"/>
      <c r="E8" s="410">
        <v>52</v>
      </c>
      <c r="F8" s="411"/>
      <c r="G8" s="411">
        <v>52</v>
      </c>
      <c r="H8" s="409"/>
    </row>
    <row r="9" spans="2:13" ht="15">
      <c r="B9" s="384" t="s">
        <v>199</v>
      </c>
      <c r="C9" s="408">
        <v>1</v>
      </c>
      <c r="D9" s="409"/>
      <c r="E9" s="410">
        <v>48</v>
      </c>
      <c r="F9" s="411"/>
      <c r="G9" s="411">
        <v>48</v>
      </c>
      <c r="H9" s="409"/>
    </row>
    <row r="10" spans="2:13" ht="15">
      <c r="B10" s="385" t="s">
        <v>200</v>
      </c>
      <c r="C10" s="408">
        <v>2</v>
      </c>
      <c r="D10" s="409"/>
      <c r="E10" s="410">
        <v>2</v>
      </c>
      <c r="F10" s="411"/>
      <c r="G10" s="411">
        <v>4</v>
      </c>
      <c r="H10" s="409"/>
    </row>
    <row r="11" spans="2:13" ht="15">
      <c r="B11" s="385" t="s">
        <v>257</v>
      </c>
      <c r="C11" s="408" t="s">
        <v>201</v>
      </c>
      <c r="D11" s="409"/>
      <c r="E11" s="410" t="s">
        <v>276</v>
      </c>
      <c r="F11" s="411"/>
      <c r="G11" s="411" t="s">
        <v>277</v>
      </c>
      <c r="H11" s="409"/>
    </row>
    <row r="12" spans="2:13" ht="15">
      <c r="B12" s="385" t="s">
        <v>202</v>
      </c>
      <c r="C12" s="408" t="s">
        <v>203</v>
      </c>
      <c r="D12" s="409"/>
      <c r="E12" s="410" t="s">
        <v>203</v>
      </c>
      <c r="F12" s="411"/>
      <c r="G12" s="411" t="s">
        <v>203</v>
      </c>
      <c r="H12" s="409"/>
    </row>
    <row r="13" spans="2:13" ht="15">
      <c r="B13" s="384" t="s">
        <v>204</v>
      </c>
      <c r="C13" s="408" t="s">
        <v>205</v>
      </c>
      <c r="D13" s="409"/>
      <c r="E13" s="410" t="s">
        <v>205</v>
      </c>
      <c r="F13" s="411"/>
      <c r="G13" s="411" t="s">
        <v>205</v>
      </c>
      <c r="H13" s="409"/>
      <c r="K13" t="s">
        <v>286</v>
      </c>
      <c r="L13" t="s">
        <v>285</v>
      </c>
      <c r="M13" t="s">
        <v>287</v>
      </c>
    </row>
    <row r="14" spans="2:13" ht="15">
      <c r="B14" s="384" t="s">
        <v>278</v>
      </c>
      <c r="C14" s="408" t="s">
        <v>288</v>
      </c>
      <c r="D14" s="409"/>
      <c r="E14" s="408" t="s">
        <v>288</v>
      </c>
      <c r="F14" s="409"/>
      <c r="G14" s="411" t="s">
        <v>225</v>
      </c>
      <c r="H14" s="409"/>
      <c r="K14">
        <v>1</v>
      </c>
      <c r="L14">
        <v>1852</v>
      </c>
      <c r="M14">
        <f>L14/299792458</f>
        <v>6.1776070430697762E-6</v>
      </c>
    </row>
    <row r="15" spans="2:13" ht="15">
      <c r="B15" s="384" t="s">
        <v>279</v>
      </c>
      <c r="C15" s="408" t="s">
        <v>206</v>
      </c>
      <c r="D15" s="409"/>
      <c r="E15" s="410" t="s">
        <v>206</v>
      </c>
      <c r="F15" s="411"/>
      <c r="G15" s="411" t="s">
        <v>206</v>
      </c>
      <c r="H15" s="409"/>
      <c r="K15">
        <v>100</v>
      </c>
      <c r="L15">
        <f>K15*$L$14</f>
        <v>185200</v>
      </c>
      <c r="M15">
        <f>L15/299792458</f>
        <v>6.1776070430697762E-4</v>
      </c>
    </row>
    <row r="16" spans="2:13" ht="15">
      <c r="B16" s="384" t="s">
        <v>207</v>
      </c>
      <c r="C16" s="408" t="s">
        <v>208</v>
      </c>
      <c r="D16" s="409"/>
      <c r="E16" s="410" t="s">
        <v>208</v>
      </c>
      <c r="F16" s="411"/>
      <c r="G16" s="411" t="s">
        <v>208</v>
      </c>
      <c r="H16" s="409"/>
      <c r="K16">
        <v>150</v>
      </c>
      <c r="L16">
        <f>K16*$L$14</f>
        <v>277800</v>
      </c>
      <c r="M16">
        <f>L16/299792458</f>
        <v>9.2664105646046637E-4</v>
      </c>
    </row>
    <row r="17" spans="2:8" ht="15">
      <c r="B17" s="384" t="s">
        <v>209</v>
      </c>
      <c r="C17" s="416">
        <v>0.93</v>
      </c>
      <c r="D17" s="409"/>
      <c r="E17" s="417">
        <v>0.76</v>
      </c>
      <c r="F17" s="411"/>
      <c r="G17" s="418">
        <v>0.76</v>
      </c>
      <c r="H17" s="409"/>
    </row>
    <row r="18" spans="2:8" ht="15">
      <c r="B18" s="384" t="s">
        <v>210</v>
      </c>
      <c r="C18" s="416">
        <v>0.92</v>
      </c>
      <c r="D18" s="409"/>
      <c r="E18" s="417">
        <v>0.92</v>
      </c>
      <c r="F18" s="411"/>
      <c r="G18" s="418">
        <v>0.92</v>
      </c>
      <c r="H18" s="409"/>
    </row>
    <row r="19" spans="2:8" ht="15">
      <c r="B19" s="384" t="s">
        <v>211</v>
      </c>
      <c r="C19" s="408" t="s">
        <v>212</v>
      </c>
      <c r="D19" s="409"/>
      <c r="E19" s="410" t="s">
        <v>212</v>
      </c>
      <c r="F19" s="411"/>
      <c r="G19" s="411" t="s">
        <v>212</v>
      </c>
      <c r="H19" s="409"/>
    </row>
    <row r="20" spans="2:8" ht="15">
      <c r="B20" s="384" t="s">
        <v>213</v>
      </c>
      <c r="C20" s="408" t="s">
        <v>214</v>
      </c>
      <c r="D20" s="409"/>
      <c r="E20" s="410" t="s">
        <v>275</v>
      </c>
      <c r="F20" s="411"/>
      <c r="G20" s="411" t="s">
        <v>275</v>
      </c>
      <c r="H20" s="409"/>
    </row>
    <row r="21" spans="2:8" ht="15">
      <c r="B21" s="384" t="s">
        <v>215</v>
      </c>
      <c r="C21" s="408" t="s">
        <v>216</v>
      </c>
      <c r="D21" s="409"/>
      <c r="E21" s="410" t="s">
        <v>216</v>
      </c>
      <c r="F21" s="411"/>
      <c r="G21" s="411" t="s">
        <v>216</v>
      </c>
      <c r="H21" s="409"/>
    </row>
    <row r="22" spans="2:8" ht="15">
      <c r="B22" s="384" t="s">
        <v>217</v>
      </c>
      <c r="C22" s="408" t="s">
        <v>218</v>
      </c>
      <c r="D22" s="409"/>
      <c r="E22" s="410" t="s">
        <v>218</v>
      </c>
      <c r="F22" s="411"/>
      <c r="G22" s="411" t="s">
        <v>218</v>
      </c>
      <c r="H22" s="409"/>
    </row>
    <row r="23" spans="2:8" ht="15">
      <c r="B23" s="384" t="s">
        <v>219</v>
      </c>
      <c r="C23" s="408" t="s">
        <v>216</v>
      </c>
      <c r="D23" s="409"/>
      <c r="E23" s="410" t="s">
        <v>216</v>
      </c>
      <c r="F23" s="411"/>
      <c r="G23" s="411" t="s">
        <v>216</v>
      </c>
      <c r="H23" s="409"/>
    </row>
    <row r="24" spans="2:8" ht="15">
      <c r="B24" s="384" t="s">
        <v>220</v>
      </c>
      <c r="C24" s="408" t="s">
        <v>221</v>
      </c>
      <c r="D24" s="409"/>
      <c r="E24" s="410" t="s">
        <v>221</v>
      </c>
      <c r="F24" s="411"/>
      <c r="G24" s="411" t="s">
        <v>221</v>
      </c>
      <c r="H24" s="409"/>
    </row>
    <row r="25" spans="2:8" ht="15">
      <c r="B25" s="384" t="s">
        <v>222</v>
      </c>
      <c r="C25" s="408">
        <v>864000</v>
      </c>
      <c r="D25" s="409"/>
      <c r="E25" s="410">
        <v>864000</v>
      </c>
      <c r="F25" s="411"/>
      <c r="G25" s="411">
        <v>864000</v>
      </c>
      <c r="H25" s="409"/>
    </row>
    <row r="26" spans="2:8" ht="15">
      <c r="B26" s="384" t="s">
        <v>223</v>
      </c>
      <c r="C26" s="408">
        <f>196608/2</f>
        <v>98304</v>
      </c>
      <c r="D26" s="409"/>
      <c r="E26" s="410">
        <f>196608/2</f>
        <v>98304</v>
      </c>
      <c r="F26" s="411"/>
      <c r="G26" s="411">
        <f>196608/2</f>
        <v>98304</v>
      </c>
      <c r="H26" s="409"/>
    </row>
    <row r="27" spans="2:8" ht="15">
      <c r="B27" s="384" t="s">
        <v>224</v>
      </c>
      <c r="C27" s="408">
        <f>196608/2</f>
        <v>98304</v>
      </c>
      <c r="D27" s="409"/>
      <c r="E27" s="410">
        <f>196608/2</f>
        <v>98304</v>
      </c>
      <c r="F27" s="411"/>
      <c r="G27" s="411">
        <f>196608/2</f>
        <v>98304</v>
      </c>
      <c r="H27" s="409"/>
    </row>
    <row r="28" spans="2:8" ht="15">
      <c r="B28" s="384" t="s">
        <v>230</v>
      </c>
      <c r="C28" s="408" t="s">
        <v>231</v>
      </c>
      <c r="D28" s="409"/>
      <c r="E28" s="410" t="s">
        <v>231</v>
      </c>
      <c r="F28" s="411"/>
      <c r="G28" s="411" t="s">
        <v>231</v>
      </c>
      <c r="H28" s="409"/>
    </row>
    <row r="29" spans="2:8" ht="16" thickBot="1">
      <c r="B29" s="386" t="s">
        <v>232</v>
      </c>
      <c r="C29" s="412" t="s">
        <v>231</v>
      </c>
      <c r="D29" s="413"/>
      <c r="E29" s="414" t="s">
        <v>231</v>
      </c>
      <c r="F29" s="415"/>
      <c r="G29" s="415" t="s">
        <v>231</v>
      </c>
      <c r="H29" s="413"/>
    </row>
  </sheetData>
  <mergeCells count="78">
    <mergeCell ref="B3:H3"/>
    <mergeCell ref="B4:B5"/>
    <mergeCell ref="C4:D5"/>
    <mergeCell ref="E4:H4"/>
    <mergeCell ref="E5:F5"/>
    <mergeCell ref="G5:H5"/>
    <mergeCell ref="C6:D6"/>
    <mergeCell ref="E6:F6"/>
    <mergeCell ref="G6:H6"/>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3:D13"/>
    <mergeCell ref="E13:F13"/>
    <mergeCell ref="G13:H13"/>
    <mergeCell ref="C14:D14"/>
    <mergeCell ref="E14:F14"/>
    <mergeCell ref="G14:H14"/>
    <mergeCell ref="C15:D15"/>
    <mergeCell ref="E15:F15"/>
    <mergeCell ref="G15:H15"/>
    <mergeCell ref="C16:D16"/>
    <mergeCell ref="E16:F16"/>
    <mergeCell ref="G16:H16"/>
    <mergeCell ref="C17:D17"/>
    <mergeCell ref="E17:F17"/>
    <mergeCell ref="G17:H17"/>
    <mergeCell ref="C18:D18"/>
    <mergeCell ref="E18:F18"/>
    <mergeCell ref="G18:H18"/>
    <mergeCell ref="C19:D19"/>
    <mergeCell ref="E19:F19"/>
    <mergeCell ref="G19:H19"/>
    <mergeCell ref="C20:D20"/>
    <mergeCell ref="E20:F20"/>
    <mergeCell ref="G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C28:D28"/>
    <mergeCell ref="E28:F28"/>
    <mergeCell ref="G28:H28"/>
    <mergeCell ref="C29:D29"/>
    <mergeCell ref="E29:F29"/>
    <mergeCell ref="G29:H29"/>
  </mergeCells>
  <phoneticPr fontId="2"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Q178"/>
  <sheetViews>
    <sheetView zoomScale="150" zoomScaleNormal="150" zoomScalePageLayoutView="150" workbookViewId="0">
      <selection activeCell="E2" sqref="E2"/>
    </sheetView>
  </sheetViews>
  <sheetFormatPr baseColWidth="10" defaultColWidth="8.83203125" defaultRowHeight="12" x14ac:dyDescent="0"/>
  <cols>
    <col min="1" max="1" width="30.1640625" customWidth="1"/>
    <col min="2" max="2" width="21.83203125" customWidth="1"/>
    <col min="3" max="3" width="9.6640625" hidden="1" customWidth="1"/>
    <col min="4" max="4" width="9.6640625" customWidth="1"/>
    <col min="5" max="6" width="8.6640625" customWidth="1"/>
    <col min="7" max="7" width="10.6640625" customWidth="1"/>
    <col min="8" max="8" width="31" customWidth="1"/>
    <col min="9" max="9" width="21.1640625" customWidth="1"/>
    <col min="10" max="10" width="9.6640625" hidden="1" customWidth="1"/>
    <col min="11" max="11" width="9.6640625" customWidth="1"/>
    <col min="12" max="12" width="7" customWidth="1"/>
  </cols>
  <sheetData>
    <row r="2" spans="1:13" ht="13" thickBot="1">
      <c r="A2" t="s">
        <v>128</v>
      </c>
      <c r="B2" s="29"/>
      <c r="H2" s="236" t="s">
        <v>127</v>
      </c>
      <c r="I2" s="237"/>
      <c r="J2" s="236" t="s">
        <v>61</v>
      </c>
      <c r="K2" s="236"/>
      <c r="L2" s="236"/>
    </row>
    <row r="3" spans="1:13">
      <c r="A3" s="89"/>
      <c r="B3" s="90"/>
      <c r="C3" s="91" t="s">
        <v>79</v>
      </c>
      <c r="D3" s="154" t="s">
        <v>80</v>
      </c>
      <c r="E3" s="92"/>
      <c r="F3" s="19"/>
      <c r="H3" s="238"/>
      <c r="I3" s="239"/>
      <c r="J3" s="240" t="s">
        <v>79</v>
      </c>
      <c r="K3" s="154" t="s">
        <v>80</v>
      </c>
      <c r="L3" s="241"/>
    </row>
    <row r="4" spans="1:13">
      <c r="A4" s="88" t="s">
        <v>0</v>
      </c>
      <c r="B4" s="54"/>
      <c r="C4" s="86">
        <f>B6+10*LOG10(B5)</f>
        <v>8.0102999566398125</v>
      </c>
      <c r="D4" s="155">
        <f>B6-B7+10*LOG10(B5)</f>
        <v>4.5102999566398125</v>
      </c>
      <c r="E4" s="87" t="s">
        <v>1</v>
      </c>
      <c r="F4" s="18"/>
      <c r="H4" s="88" t="s">
        <v>0</v>
      </c>
      <c r="I4" s="242"/>
      <c r="J4" s="243">
        <f>$I$6+10*LOG10($I$5)</f>
        <v>5</v>
      </c>
      <c r="K4" s="155">
        <f>I6-I7+10*LOG10(I5)</f>
        <v>1.5</v>
      </c>
      <c r="L4" s="244" t="s">
        <v>1</v>
      </c>
    </row>
    <row r="5" spans="1:13">
      <c r="A5" s="11" t="s">
        <v>129</v>
      </c>
      <c r="B5" s="49">
        <v>20</v>
      </c>
      <c r="C5" s="13"/>
      <c r="D5" s="156"/>
      <c r="E5" s="14" t="s">
        <v>10</v>
      </c>
      <c r="F5" s="18"/>
      <c r="G5" s="48">
        <f>10*LOG(B5*1000)</f>
        <v>43.010299956639813</v>
      </c>
      <c r="H5" s="11" t="s">
        <v>129</v>
      </c>
      <c r="I5" s="245">
        <v>10</v>
      </c>
      <c r="J5" s="246"/>
      <c r="K5" s="164"/>
      <c r="L5" s="247" t="s">
        <v>10</v>
      </c>
      <c r="M5" s="48">
        <f>10*LOG(I5*1000)</f>
        <v>40</v>
      </c>
    </row>
    <row r="6" spans="1:13">
      <c r="A6" s="11" t="s">
        <v>133</v>
      </c>
      <c r="B6" s="20">
        <v>-5</v>
      </c>
      <c r="C6" s="13"/>
      <c r="D6" s="156"/>
      <c r="E6" s="14" t="s">
        <v>9</v>
      </c>
      <c r="F6" s="18"/>
      <c r="H6" s="11" t="s">
        <v>133</v>
      </c>
      <c r="I6" s="248">
        <v>-5</v>
      </c>
      <c r="J6" s="246"/>
      <c r="K6" s="164"/>
      <c r="L6" s="247" t="s">
        <v>9</v>
      </c>
    </row>
    <row r="7" spans="1:13">
      <c r="A7" s="11" t="s">
        <v>140</v>
      </c>
      <c r="B7" s="20">
        <v>3.5</v>
      </c>
      <c r="C7" s="13"/>
      <c r="D7" s="156"/>
      <c r="E7" s="14" t="s">
        <v>3</v>
      </c>
      <c r="F7" s="18"/>
      <c r="H7" s="11" t="s">
        <v>140</v>
      </c>
      <c r="I7" s="248">
        <v>3.5</v>
      </c>
      <c r="J7" s="246"/>
      <c r="K7" s="164"/>
      <c r="L7" s="247" t="s">
        <v>3</v>
      </c>
    </row>
    <row r="8" spans="1:13">
      <c r="A8" s="11" t="s">
        <v>82</v>
      </c>
      <c r="B8" s="20"/>
      <c r="C8" s="65">
        <v>3</v>
      </c>
      <c r="D8" s="157">
        <v>3</v>
      </c>
      <c r="E8" s="14" t="s">
        <v>3</v>
      </c>
      <c r="F8" s="18"/>
      <c r="H8" s="11" t="s">
        <v>82</v>
      </c>
      <c r="I8" s="248"/>
      <c r="J8" s="249">
        <v>3</v>
      </c>
      <c r="K8" s="165">
        <v>3</v>
      </c>
      <c r="L8" s="247" t="s">
        <v>3</v>
      </c>
    </row>
    <row r="9" spans="1:13">
      <c r="A9" s="11" t="s">
        <v>2</v>
      </c>
      <c r="B9" s="12"/>
      <c r="C9" s="15">
        <f>20*LOG10(4*PI()*C11*1.852*1000/(300000000/C10))</f>
        <v>143.13802640102725</v>
      </c>
      <c r="D9" s="158">
        <f>20*LOG10(4*PI()*D11*1.852*1000/(300000000/D10))</f>
        <v>155.12033861465088</v>
      </c>
      <c r="E9" s="14" t="s">
        <v>3</v>
      </c>
      <c r="F9" s="18"/>
      <c r="H9" s="11" t="s">
        <v>2</v>
      </c>
      <c r="I9" s="250"/>
      <c r="J9" s="251">
        <f>20*LOG10(4*PI()*J11*1.852*1000/(300000000/J10))</f>
        <v>146.65985158214087</v>
      </c>
      <c r="K9" s="151">
        <f>20*LOG10(4*PI()*K11*1.852*1000/(300000000/K10))</f>
        <v>146.65985158214087</v>
      </c>
      <c r="L9" s="247" t="s">
        <v>3</v>
      </c>
    </row>
    <row r="10" spans="1:13">
      <c r="A10" s="11"/>
      <c r="B10" s="12" t="s">
        <v>12</v>
      </c>
      <c r="C10" s="30">
        <f>1850000000</f>
        <v>1850000000</v>
      </c>
      <c r="D10" s="159">
        <f>4900000000</f>
        <v>4900000000</v>
      </c>
      <c r="E10" s="14" t="s">
        <v>14</v>
      </c>
      <c r="F10" s="18"/>
      <c r="H10" s="11"/>
      <c r="I10" s="250" t="s">
        <v>12</v>
      </c>
      <c r="J10" s="252">
        <f>1850000000</f>
        <v>1850000000</v>
      </c>
      <c r="K10" s="159">
        <f>1850000000</f>
        <v>1850000000</v>
      </c>
      <c r="L10" s="247" t="s">
        <v>14</v>
      </c>
    </row>
    <row r="11" spans="1:13">
      <c r="A11" s="11"/>
      <c r="B11" s="12" t="s">
        <v>13</v>
      </c>
      <c r="C11" s="44">
        <v>100</v>
      </c>
      <c r="D11" s="160">
        <v>150</v>
      </c>
      <c r="E11" s="14" t="s">
        <v>61</v>
      </c>
      <c r="F11" s="18"/>
      <c r="H11" s="11"/>
      <c r="I11" s="250" t="s">
        <v>13</v>
      </c>
      <c r="J11" s="253">
        <v>150</v>
      </c>
      <c r="K11" s="254">
        <v>150</v>
      </c>
      <c r="L11" s="247" t="s">
        <v>61</v>
      </c>
    </row>
    <row r="12" spans="1:13">
      <c r="A12" s="11" t="s">
        <v>4</v>
      </c>
      <c r="B12" s="12"/>
      <c r="C12" s="15">
        <v>-228.6</v>
      </c>
      <c r="D12" s="151">
        <f>10*LOG(1.38*10^-23)</f>
        <v>-228.60120913598763</v>
      </c>
      <c r="E12" s="14"/>
      <c r="F12" s="18"/>
      <c r="H12" s="11" t="s">
        <v>4</v>
      </c>
      <c r="I12" s="250"/>
      <c r="J12" s="251">
        <v>-228.6</v>
      </c>
      <c r="K12" s="151">
        <f>10*LOG(1.38*10^-23)</f>
        <v>-228.60120913598763</v>
      </c>
      <c r="L12" s="247"/>
    </row>
    <row r="13" spans="1:13">
      <c r="A13" s="11" t="s">
        <v>5</v>
      </c>
      <c r="B13" s="12"/>
      <c r="C13" s="15">
        <v>1</v>
      </c>
      <c r="D13" s="151">
        <v>1</v>
      </c>
      <c r="E13" s="14" t="s">
        <v>3</v>
      </c>
      <c r="F13" s="18"/>
      <c r="H13" s="11" t="s">
        <v>5</v>
      </c>
      <c r="I13" s="250"/>
      <c r="J13" s="251">
        <v>1</v>
      </c>
      <c r="K13" s="151">
        <v>1</v>
      </c>
      <c r="L13" s="247" t="s">
        <v>3</v>
      </c>
    </row>
    <row r="14" spans="1:13">
      <c r="A14" s="11" t="s">
        <v>119</v>
      </c>
      <c r="B14" s="12"/>
      <c r="C14" s="15">
        <f>B17-10*LOG10(B25)</f>
        <v>15.914887347227982</v>
      </c>
      <c r="D14" s="161">
        <f>B17-10*LOG10(B25)-B20-B24</f>
        <v>14.614887347227981</v>
      </c>
      <c r="E14" s="14" t="s">
        <v>8</v>
      </c>
      <c r="F14" s="18"/>
      <c r="H14" s="11" t="s">
        <v>119</v>
      </c>
      <c r="I14" s="250"/>
      <c r="J14" s="251">
        <f>$I$17-10*LOG10($I$25)</f>
        <v>7.4544003147179865</v>
      </c>
      <c r="K14" s="161">
        <f>I17-10*LOG10(I25)-I20-I24</f>
        <v>6.1544003147179867</v>
      </c>
      <c r="L14" s="247" t="s">
        <v>8</v>
      </c>
    </row>
    <row r="15" spans="1:13">
      <c r="A15" s="11" t="s">
        <v>120</v>
      </c>
      <c r="B15" s="45">
        <v>2.5</v>
      </c>
      <c r="C15" s="15"/>
      <c r="D15" s="158"/>
      <c r="E15" s="14" t="s">
        <v>17</v>
      </c>
      <c r="F15" s="18"/>
      <c r="H15" s="11" t="s">
        <v>120</v>
      </c>
      <c r="I15" s="255">
        <v>2.5</v>
      </c>
      <c r="J15" s="251"/>
      <c r="K15" s="151"/>
      <c r="L15" s="247" t="s">
        <v>17</v>
      </c>
    </row>
    <row r="16" spans="1:13">
      <c r="A16" s="11" t="s">
        <v>121</v>
      </c>
      <c r="B16" s="22">
        <v>0.55000000000000004</v>
      </c>
      <c r="C16" s="15"/>
      <c r="D16" s="158"/>
      <c r="E16" s="14" t="s">
        <v>19</v>
      </c>
      <c r="F16" s="18"/>
      <c r="H16" s="11" t="s">
        <v>121</v>
      </c>
      <c r="I16" s="256">
        <v>0.55000000000000004</v>
      </c>
      <c r="J16" s="251"/>
      <c r="K16" s="151"/>
      <c r="L16" s="247" t="s">
        <v>19</v>
      </c>
    </row>
    <row r="17" spans="1:15">
      <c r="A17" s="11" t="s">
        <v>122</v>
      </c>
      <c r="B17" s="23">
        <f>10*LOG10(B16*(PI()*B15/(300000000/D10))^2)</f>
        <v>39.566921028442891</v>
      </c>
      <c r="C17" s="15"/>
      <c r="D17" s="158"/>
      <c r="E17" s="14" t="s">
        <v>9</v>
      </c>
      <c r="F17" s="61">
        <f>10^(B17/10)</f>
        <v>9050.9070082351082</v>
      </c>
      <c r="G17" s="61"/>
      <c r="H17" s="11" t="s">
        <v>122</v>
      </c>
      <c r="I17" s="257">
        <f>10*LOG10(I16*(PI()*I15/(300000000/K10))^2)</f>
        <v>31.106433995932896</v>
      </c>
      <c r="J17" s="251"/>
      <c r="K17" s="151"/>
      <c r="L17" s="247" t="s">
        <v>9</v>
      </c>
      <c r="M17" s="61">
        <f>10^(I17/10)</f>
        <v>1290.159485034764</v>
      </c>
      <c r="N17" s="61"/>
    </row>
    <row r="18" spans="1:15">
      <c r="A18" s="11" t="s">
        <v>15</v>
      </c>
      <c r="B18" s="12">
        <v>0.3</v>
      </c>
      <c r="C18" s="15"/>
      <c r="D18" s="158"/>
      <c r="E18" s="14" t="s">
        <v>3</v>
      </c>
      <c r="F18" s="61">
        <f>10^(B18/10)</f>
        <v>1.0715193052376064</v>
      </c>
      <c r="G18" s="61"/>
      <c r="H18" s="11" t="s">
        <v>15</v>
      </c>
      <c r="I18" s="250">
        <v>0.3</v>
      </c>
      <c r="J18" s="251"/>
      <c r="K18" s="151"/>
      <c r="L18" s="247" t="s">
        <v>3</v>
      </c>
      <c r="M18" s="61">
        <f>10^(I18/10)</f>
        <v>1.0715193052376064</v>
      </c>
      <c r="N18" s="61"/>
    </row>
    <row r="19" spans="1:15">
      <c r="A19" s="11" t="s">
        <v>108</v>
      </c>
      <c r="B19" s="12">
        <v>40</v>
      </c>
      <c r="C19" s="15"/>
      <c r="D19" s="158"/>
      <c r="E19" s="14" t="s">
        <v>3</v>
      </c>
      <c r="F19" s="61">
        <f>10^(B19/10)</f>
        <v>10000</v>
      </c>
      <c r="G19" s="61"/>
      <c r="H19" s="11" t="s">
        <v>108</v>
      </c>
      <c r="I19" s="250">
        <v>40</v>
      </c>
      <c r="J19" s="251"/>
      <c r="K19" s="151"/>
      <c r="L19" s="247" t="s">
        <v>3</v>
      </c>
      <c r="M19" s="61">
        <f>10^(I19/10)</f>
        <v>10000</v>
      </c>
      <c r="N19" s="61"/>
    </row>
    <row r="20" spans="1:15">
      <c r="A20" s="11" t="s">
        <v>114</v>
      </c>
      <c r="B20" s="12">
        <v>1</v>
      </c>
      <c r="C20" s="15"/>
      <c r="D20" s="158"/>
      <c r="E20" s="14" t="s">
        <v>3</v>
      </c>
      <c r="F20" s="61">
        <f>10^(-B20/10)</f>
        <v>0.79432823472428149</v>
      </c>
      <c r="G20" s="61"/>
      <c r="H20" s="11" t="s">
        <v>114</v>
      </c>
      <c r="I20" s="250">
        <v>1</v>
      </c>
      <c r="J20" s="251"/>
      <c r="K20" s="151"/>
      <c r="L20" s="247" t="s">
        <v>3</v>
      </c>
      <c r="M20" s="61">
        <f>10^(-I20/10)</f>
        <v>0.79432823472428149</v>
      </c>
      <c r="N20" s="61"/>
      <c r="O20" s="7"/>
    </row>
    <row r="21" spans="1:15">
      <c r="A21" s="11" t="s">
        <v>16</v>
      </c>
      <c r="B21" s="12">
        <v>70</v>
      </c>
      <c r="C21" s="15"/>
      <c r="D21" s="158"/>
      <c r="E21" s="14" t="s">
        <v>18</v>
      </c>
      <c r="F21" s="61"/>
      <c r="G21" s="61"/>
      <c r="H21" s="11" t="s">
        <v>16</v>
      </c>
      <c r="I21" s="250">
        <v>70</v>
      </c>
      <c r="J21" s="251"/>
      <c r="K21" s="151"/>
      <c r="L21" s="247" t="s">
        <v>18</v>
      </c>
      <c r="M21" s="61"/>
      <c r="N21" s="61"/>
    </row>
    <row r="22" spans="1:15">
      <c r="A22" s="11" t="s">
        <v>109</v>
      </c>
      <c r="B22" s="12">
        <f>290</f>
        <v>290</v>
      </c>
      <c r="C22" s="15"/>
      <c r="D22" s="158"/>
      <c r="E22" s="14" t="s">
        <v>11</v>
      </c>
      <c r="F22" s="61"/>
      <c r="G22" s="61"/>
      <c r="H22" s="11" t="s">
        <v>109</v>
      </c>
      <c r="I22" s="250">
        <f>290</f>
        <v>290</v>
      </c>
      <c r="J22" s="251"/>
      <c r="K22" s="151"/>
      <c r="L22" s="247" t="s">
        <v>11</v>
      </c>
      <c r="M22" s="61"/>
      <c r="N22" s="61"/>
    </row>
    <row r="23" spans="1:15">
      <c r="A23" s="11" t="s">
        <v>123</v>
      </c>
      <c r="B23" s="35">
        <f>(150-32)*5/9+273.15</f>
        <v>338.70555555555552</v>
      </c>
      <c r="C23" s="15"/>
      <c r="D23" s="158"/>
      <c r="E23" s="14" t="s">
        <v>11</v>
      </c>
      <c r="F23" s="61">
        <f>10*LOG(1+B23/B22)</f>
        <v>3.3604930011062621</v>
      </c>
      <c r="G23" s="61">
        <f>10^(F23/10)</f>
        <v>2.1679501915708816</v>
      </c>
      <c r="H23" s="11" t="s">
        <v>123</v>
      </c>
      <c r="I23" s="35">
        <f>(150-32)*5/9+273.15</f>
        <v>338.70555555555552</v>
      </c>
      <c r="J23" s="251"/>
      <c r="K23" s="151"/>
      <c r="L23" s="247" t="s">
        <v>11</v>
      </c>
      <c r="M23" s="61">
        <f>10*LOG(1+I23/I22)</f>
        <v>3.3604930011062621</v>
      </c>
      <c r="N23" s="61">
        <f>10^(M23/10)</f>
        <v>2.1679501915708816</v>
      </c>
    </row>
    <row r="24" spans="1:15">
      <c r="A24" s="11" t="s">
        <v>124</v>
      </c>
      <c r="B24" s="12">
        <v>0.3</v>
      </c>
      <c r="C24" s="15"/>
      <c r="D24" s="158"/>
      <c r="E24" s="14" t="s">
        <v>3</v>
      </c>
      <c r="F24" s="61">
        <f>10^(-B24/10)</f>
        <v>0.93325430079699101</v>
      </c>
      <c r="G24" s="61"/>
      <c r="H24" s="11" t="s">
        <v>124</v>
      </c>
      <c r="I24" s="250">
        <v>0.3</v>
      </c>
      <c r="J24" s="251"/>
      <c r="K24" s="151"/>
      <c r="L24" s="247" t="s">
        <v>3</v>
      </c>
      <c r="M24" s="61">
        <f>10^(-I24/10)</f>
        <v>0.93325430079699101</v>
      </c>
      <c r="N24" s="61"/>
    </row>
    <row r="25" spans="1:15">
      <c r="A25" s="11" t="s">
        <v>125</v>
      </c>
      <c r="B25" s="35">
        <f>B23*(1/F24-1)*(F24*F20)+(B21/2+B22/2)*(F24*F20)+B22*(1/F20-1)*F20+B22*(F18-1)+B22*(1/F29-1)/F19+B22*(F30-1)/(F19*F29)</f>
        <v>231.84800760521105</v>
      </c>
      <c r="C25" s="15"/>
      <c r="D25" s="158"/>
      <c r="E25" s="14" t="s">
        <v>11</v>
      </c>
      <c r="F25" s="61">
        <f>10*LOG(1+B25/B22)</f>
        <v>2.5514603178854434</v>
      </c>
      <c r="G25" s="61">
        <f>10^(F25/10)</f>
        <v>1.7994758882938311</v>
      </c>
      <c r="H25" s="11" t="s">
        <v>125</v>
      </c>
      <c r="I25" s="35">
        <f>I23*(1/M24-1)*(M24*M20)+(I21/2+I22/2)*(M24*M20)+I22*(1/M20-1)*M20+I22*(M18-1)+I22*(1/M29-1)/M19+I22*(M30-1)/(M19*M29)</f>
        <v>231.84800760521105</v>
      </c>
      <c r="J25" s="251"/>
      <c r="K25" s="151"/>
      <c r="L25" s="247" t="s">
        <v>11</v>
      </c>
      <c r="M25" s="61">
        <f>10*LOG(1+I25/I22)</f>
        <v>2.5514603178854434</v>
      </c>
      <c r="N25" s="61">
        <f>10^(M25/10)</f>
        <v>1.7994758882938311</v>
      </c>
    </row>
    <row r="26" spans="1:15">
      <c r="A26" s="11" t="s">
        <v>145</v>
      </c>
      <c r="B26" s="12"/>
      <c r="C26" s="15">
        <v>1</v>
      </c>
      <c r="D26" s="151">
        <v>1</v>
      </c>
      <c r="E26" s="6" t="s">
        <v>3</v>
      </c>
      <c r="F26" s="61">
        <f>10^(-D26/10)</f>
        <v>0.79432823472428149</v>
      </c>
      <c r="G26" s="61"/>
      <c r="H26" s="11" t="s">
        <v>145</v>
      </c>
      <c r="I26" s="250"/>
      <c r="J26" s="251">
        <v>1</v>
      </c>
      <c r="K26" s="151">
        <v>1</v>
      </c>
      <c r="L26" s="247" t="s">
        <v>3</v>
      </c>
      <c r="M26" s="61">
        <f>10^(-K26/10)</f>
        <v>0.79432823472428149</v>
      </c>
      <c r="N26" s="61"/>
    </row>
    <row r="27" spans="1:15">
      <c r="A27" s="11" t="s">
        <v>146</v>
      </c>
      <c r="B27" s="12"/>
      <c r="C27" s="15"/>
      <c r="D27" s="158"/>
      <c r="E27" s="14"/>
      <c r="F27" s="61"/>
      <c r="G27" s="61"/>
      <c r="H27" s="11" t="s">
        <v>146</v>
      </c>
      <c r="I27" s="250"/>
      <c r="J27" s="251"/>
      <c r="K27" s="151"/>
      <c r="L27" s="247"/>
      <c r="M27" s="61"/>
      <c r="N27" s="61"/>
      <c r="O27" s="7"/>
    </row>
    <row r="28" spans="1:15">
      <c r="A28" s="11" t="s">
        <v>147</v>
      </c>
      <c r="B28" s="12"/>
      <c r="C28" s="15">
        <v>3</v>
      </c>
      <c r="D28" s="151">
        <v>3</v>
      </c>
      <c r="E28" s="14" t="s">
        <v>3</v>
      </c>
      <c r="F28" s="61">
        <f>10^(-D28/10)</f>
        <v>0.50118723362727224</v>
      </c>
      <c r="G28" s="61"/>
      <c r="H28" s="11" t="s">
        <v>147</v>
      </c>
      <c r="I28" s="250"/>
      <c r="J28" s="251">
        <v>3</v>
      </c>
      <c r="K28" s="151">
        <v>3</v>
      </c>
      <c r="L28" s="247" t="s">
        <v>3</v>
      </c>
      <c r="M28" s="61">
        <f>10^(-K28/10)</f>
        <v>0.50118723362727224</v>
      </c>
      <c r="N28" s="61"/>
      <c r="O28" s="7"/>
    </row>
    <row r="29" spans="1:15">
      <c r="A29" s="11" t="s">
        <v>112</v>
      </c>
      <c r="B29" s="12"/>
      <c r="C29" s="15"/>
      <c r="D29" s="161">
        <v>0.3</v>
      </c>
      <c r="E29" s="14" t="s">
        <v>3</v>
      </c>
      <c r="F29" s="61">
        <f>10^(-D29/10)</f>
        <v>0.93325430079699101</v>
      </c>
      <c r="G29" s="61"/>
      <c r="H29" s="11" t="s">
        <v>112</v>
      </c>
      <c r="I29" s="250"/>
      <c r="J29" s="251"/>
      <c r="K29" s="150">
        <v>0.3</v>
      </c>
      <c r="L29" s="247" t="s">
        <v>3</v>
      </c>
      <c r="M29" s="61">
        <f>10^(-K29/10)</f>
        <v>0.93325430079699101</v>
      </c>
      <c r="N29" s="61"/>
      <c r="O29" s="7"/>
    </row>
    <row r="30" spans="1:15">
      <c r="A30" s="11" t="s">
        <v>149</v>
      </c>
      <c r="B30" s="12"/>
      <c r="C30" s="15"/>
      <c r="D30" s="169">
        <v>5</v>
      </c>
      <c r="E30" s="14" t="s">
        <v>3</v>
      </c>
      <c r="F30" s="61">
        <f>10^(D30/10)</f>
        <v>3.1622776601683795</v>
      </c>
      <c r="G30" s="61"/>
      <c r="H30" s="11" t="s">
        <v>110</v>
      </c>
      <c r="I30" s="250"/>
      <c r="J30" s="251"/>
      <c r="K30" s="170">
        <v>5</v>
      </c>
      <c r="L30" s="247" t="s">
        <v>3</v>
      </c>
      <c r="M30" s="61">
        <f>10^(K30/10)</f>
        <v>3.1622776601683795</v>
      </c>
      <c r="N30" s="61"/>
      <c r="O30" s="7"/>
    </row>
    <row r="31" spans="1:15" s="60" customFormat="1" ht="24">
      <c r="A31" s="179"/>
      <c r="B31" s="175" t="s">
        <v>261</v>
      </c>
      <c r="C31" s="224">
        <f>'OH -SC SOQPSK (threshold)'!C7</f>
        <v>13645638.647799961</v>
      </c>
      <c r="D31" s="225">
        <f>'OH -SC SOQPSK (threshold)'!C7/'OH -SC SOQPSK (threshold)'!C1</f>
        <v>20468457.971699942</v>
      </c>
      <c r="E31" s="226" t="s">
        <v>47</v>
      </c>
      <c r="F31" s="143"/>
      <c r="G31" s="143"/>
      <c r="H31" s="179"/>
      <c r="I31" s="175" t="s">
        <v>261</v>
      </c>
      <c r="J31" s="258">
        <f>'OH -SC (objective)'!$C$7</f>
        <v>40468374.51878567</v>
      </c>
      <c r="K31" s="227">
        <f>'OH -SC (objective)'!C7/'OH -SC (objective)'!C1</f>
        <v>60702561.778178506</v>
      </c>
      <c r="L31" s="259" t="s">
        <v>47</v>
      </c>
      <c r="O31" s="108"/>
    </row>
    <row r="32" spans="1:15">
      <c r="A32" s="166" t="s">
        <v>258</v>
      </c>
      <c r="B32" s="12"/>
      <c r="C32" s="15">
        <f>10*LOG10(C31)</f>
        <v>71.349938664789619</v>
      </c>
      <c r="D32" s="158">
        <f>10*LOG10(D31)</f>
        <v>73.110851255346432</v>
      </c>
      <c r="E32" s="14" t="s">
        <v>7</v>
      </c>
      <c r="F32" s="18"/>
      <c r="H32" s="166" t="s">
        <v>258</v>
      </c>
      <c r="I32" s="12"/>
      <c r="J32" s="251">
        <f>10*LOG10(J31)</f>
        <v>76.071157605640593</v>
      </c>
      <c r="K32" s="151">
        <f>10*LOG10(K31)</f>
        <v>77.832070196197407</v>
      </c>
      <c r="L32" s="247" t="s">
        <v>7</v>
      </c>
    </row>
    <row r="33" spans="1:17">
      <c r="A33" s="185" t="s">
        <v>100</v>
      </c>
      <c r="B33" s="12"/>
      <c r="C33" s="15">
        <v>0</v>
      </c>
      <c r="D33" s="158">
        <v>0</v>
      </c>
      <c r="E33" s="14" t="s">
        <v>3</v>
      </c>
      <c r="F33" s="18"/>
      <c r="G33" s="100"/>
      <c r="H33" s="185" t="s">
        <v>100</v>
      </c>
      <c r="I33" s="12"/>
      <c r="J33" s="251">
        <v>0</v>
      </c>
      <c r="K33" s="151">
        <v>0</v>
      </c>
      <c r="L33" s="247"/>
    </row>
    <row r="34" spans="1:17">
      <c r="A34" s="166" t="s">
        <v>289</v>
      </c>
      <c r="B34" s="12" t="s">
        <v>97</v>
      </c>
      <c r="C34" s="43">
        <f>'Req EbNo values'!C15</f>
        <v>14</v>
      </c>
      <c r="D34" s="149">
        <f>D44</f>
        <v>2.25</v>
      </c>
      <c r="E34" s="14" t="s">
        <v>3</v>
      </c>
      <c r="F34" s="18"/>
      <c r="H34" s="166" t="s">
        <v>166</v>
      </c>
      <c r="I34" s="12" t="s">
        <v>97</v>
      </c>
      <c r="J34" s="260">
        <f>'Req EbNo values'!C15</f>
        <v>14</v>
      </c>
      <c r="K34" s="149">
        <f>K44-10*LOG(K31/K47)</f>
        <v>0.48908740944318763</v>
      </c>
      <c r="L34" s="247" t="s">
        <v>3</v>
      </c>
    </row>
    <row r="35" spans="1:17">
      <c r="A35" s="166" t="s">
        <v>113</v>
      </c>
      <c r="B35" s="12"/>
      <c r="C35" s="15">
        <v>2</v>
      </c>
      <c r="D35" s="151">
        <v>2</v>
      </c>
      <c r="E35" s="14" t="s">
        <v>3</v>
      </c>
      <c r="F35" s="18"/>
      <c r="H35" s="166" t="s">
        <v>113</v>
      </c>
      <c r="I35" s="250"/>
      <c r="J35" s="251">
        <v>2</v>
      </c>
      <c r="K35" s="151">
        <v>2</v>
      </c>
      <c r="L35" s="247" t="s">
        <v>3</v>
      </c>
    </row>
    <row r="36" spans="1:17">
      <c r="A36" s="167" t="s">
        <v>85</v>
      </c>
      <c r="B36" s="39"/>
      <c r="C36" s="40">
        <v>1</v>
      </c>
      <c r="D36" s="162">
        <v>1</v>
      </c>
      <c r="E36" s="41" t="s">
        <v>3</v>
      </c>
      <c r="F36" s="18"/>
      <c r="G36" s="232"/>
      <c r="H36" s="167" t="s">
        <v>85</v>
      </c>
      <c r="I36" s="261"/>
      <c r="J36" s="262">
        <v>1</v>
      </c>
      <c r="K36" s="162">
        <v>1</v>
      </c>
      <c r="L36" s="263" t="s">
        <v>3</v>
      </c>
    </row>
    <row r="37" spans="1:17" ht="13" thickBot="1">
      <c r="A37" s="168" t="s">
        <v>49</v>
      </c>
      <c r="B37" s="16"/>
      <c r="C37" s="46">
        <f>C4-C9-C12-C13+C14-C26-C28-C32-C34-C35-C8-C33-C36</f>
        <v>13.03722223805093</v>
      </c>
      <c r="D37" s="163">
        <f>D4-D8-D9-D12-D13+D14-D26-D27-D28-D32-D33-D34-D35-D36+10*LOG(D31/D47)</f>
        <v>8.006119160414924</v>
      </c>
      <c r="E37" s="17" t="s">
        <v>3</v>
      </c>
      <c r="F37" s="57">
        <f>D42-D48</f>
        <v>6.2679774128600485</v>
      </c>
      <c r="H37" s="168" t="s">
        <v>49</v>
      </c>
      <c r="I37" s="264"/>
      <c r="J37" s="265">
        <f>J4-J9-J12-J13+J14-J26-J28-J32-J34-J35-J8-J33-J36</f>
        <v>-6.6766088730634863</v>
      </c>
      <c r="K37" s="163">
        <f>K4-K8-K9-K12-K13+K14-K26-K27-K28-K32-K33-K34-K35-K36</f>
        <v>0.27460026292415218</v>
      </c>
      <c r="L37" s="266" t="s">
        <v>3</v>
      </c>
      <c r="M37" s="57">
        <f>K42-K48</f>
        <v>0.29737110592607507</v>
      </c>
    </row>
    <row r="38" spans="1:17" ht="13" thickBot="1">
      <c r="A38" s="32" t="s">
        <v>62</v>
      </c>
      <c r="B38" s="33">
        <v>0.88</v>
      </c>
      <c r="C38" s="34"/>
      <c r="D38" s="74"/>
      <c r="E38" s="36"/>
      <c r="F38" s="57"/>
      <c r="H38" s="267" t="s">
        <v>62</v>
      </c>
      <c r="I38" s="268">
        <v>0.88</v>
      </c>
      <c r="J38" s="269"/>
      <c r="K38" s="270"/>
      <c r="L38" s="271"/>
      <c r="Q38" s="29"/>
    </row>
    <row r="39" spans="1:17" ht="13" thickBot="1">
      <c r="A39" s="32" t="s">
        <v>63</v>
      </c>
      <c r="B39" s="33"/>
      <c r="C39" s="31">
        <f>IF((1/(10^((C37+C8)/10))-1-B38^2)/(2*B38)&lt;-1, 1, IF((1/(10^((C37+C8)/10))-1-B38^2)/(2*B38)&gt;1, 0, 1/PI()*ACOS((1/(10^(((C37+C8))/10))-1-B38^2)/(2*B38))))</f>
        <v>0.96520533444513612</v>
      </c>
      <c r="D39" s="31">
        <f>IF((1/(10^((D37+D8)/10))-1-B38^2)/(2*B38)&lt;-1, 1, IF((1/(10^((D37+D8)/10))-1-B38^2)/(2*B38)&gt;1, 0, 1/PI()*ACOS((1/(10^(((D37+D8))/10))-1-B38^2)/(2*B38))))</f>
        <v>0.91327477493251608</v>
      </c>
      <c r="H39" s="267" t="s">
        <v>63</v>
      </c>
      <c r="I39" s="268"/>
      <c r="J39" s="272">
        <f>IF((1/(10^((J37+J8)/10))-1-$I$38^2)/(2*$I$38)&lt;-1, 1, IF((1/(10^((J37+J8)/10))-1-$I$38^2)/(2*$I$38)&gt;1, 0, 1/PI()*ACOS((1/(10^((J37+J8)/10))-1-$I$38^2)/(2*$I$38))))</f>
        <v>0.39745476281581926</v>
      </c>
      <c r="K39" s="272">
        <f>IF((1/(10^((K37+K8)/10))-1-$I$38^2)/(2*$I$38)&lt;-1, 1, IF((1/(10^((K37+K8)/10))-1-$I$38^2)/(2*$I$38)&gt;1, 0, 1/PI()*ACOS((1/(10^((K37+K8)/10))-1-$I$38^2)/(2*$I$38))))</f>
        <v>0.76558388229343166</v>
      </c>
      <c r="L39" s="236"/>
      <c r="O39" s="29"/>
    </row>
    <row r="40" spans="1:17" ht="13" thickBot="1">
      <c r="D40" s="404"/>
      <c r="H40" s="236"/>
      <c r="I40" s="236"/>
      <c r="J40" s="236"/>
      <c r="K40" s="236"/>
      <c r="L40" s="236"/>
    </row>
    <row r="41" spans="1:17">
      <c r="A41" s="2" t="s">
        <v>138</v>
      </c>
      <c r="B41" s="3"/>
      <c r="C41" s="221" t="e">
        <f>10*LOG(1000*#REF!)+#REF!-C8-C9-C13</f>
        <v>#REF!</v>
      </c>
      <c r="D41" s="222">
        <f>10*LOG(1000*10^(D4/10))-D8-D9-D13</f>
        <v>-124.61003865801106</v>
      </c>
      <c r="E41" s="4" t="s">
        <v>50</v>
      </c>
      <c r="H41" s="2" t="s">
        <v>138</v>
      </c>
      <c r="I41" s="3"/>
      <c r="J41" s="221" t="e">
        <f>10*LOG(1000*#REF!)+#REF!-J8-J9-J13</f>
        <v>#REF!</v>
      </c>
      <c r="K41" s="222">
        <f>10*LOG(1000*10^(K4/10))-K8-K9-K13</f>
        <v>-119.15985158214087</v>
      </c>
      <c r="L41" s="4" t="s">
        <v>50</v>
      </c>
    </row>
    <row r="42" spans="1:17">
      <c r="A42" s="223" t="s">
        <v>136</v>
      </c>
      <c r="B42" s="1"/>
      <c r="C42" s="219" t="e">
        <f>C41+#REF!-C26-C27-C28</f>
        <v>#REF!</v>
      </c>
      <c r="D42" s="153">
        <f>D41+B17-D26-D28-B20-B24</f>
        <v>-90.343117629568169</v>
      </c>
      <c r="E42" s="6" t="s">
        <v>50</v>
      </c>
      <c r="F42" s="47"/>
      <c r="H42" s="223" t="s">
        <v>136</v>
      </c>
      <c r="I42" s="1"/>
      <c r="J42" s="219" t="e">
        <f>J41+#REF!-J26-J27-J28</f>
        <v>#REF!</v>
      </c>
      <c r="K42" s="153">
        <f>K41+I17-K26-K28-I20-I24</f>
        <v>-93.353417586207982</v>
      </c>
      <c r="L42" s="6" t="s">
        <v>50</v>
      </c>
    </row>
    <row r="43" spans="1:17">
      <c r="A43" s="5" t="s">
        <v>135</v>
      </c>
      <c r="B43" s="1"/>
      <c r="C43" s="1">
        <f>-172</f>
        <v>-172</v>
      </c>
      <c r="D43" s="150">
        <f>-174+10*LOG(B25/290)</f>
        <v>-174.97194629777465</v>
      </c>
      <c r="E43" s="6" t="s">
        <v>107</v>
      </c>
      <c r="H43" s="5" t="s">
        <v>135</v>
      </c>
      <c r="I43" s="1"/>
      <c r="J43" s="1">
        <f>-172</f>
        <v>-172</v>
      </c>
      <c r="K43" s="150">
        <f>-174+10*LOG(I25/290)</f>
        <v>-174.97194629777465</v>
      </c>
      <c r="L43" s="6" t="s">
        <v>107</v>
      </c>
    </row>
    <row r="44" spans="1:17">
      <c r="A44" s="5" t="s">
        <v>165</v>
      </c>
      <c r="B44" s="1" t="s">
        <v>167</v>
      </c>
      <c r="C44" s="218" t="e">
        <f>C34+10*LOG('[1]DR &amp; overhead -SC (threshold)'!$G$45/'[1]DR &amp; overhead -SC (threshold)'!$G$47)+C33+C35+C36</f>
        <v>#REF!</v>
      </c>
      <c r="D44" s="150">
        <f>'Req EbNo values'!C16</f>
        <v>2.25</v>
      </c>
      <c r="E44" s="6" t="s">
        <v>60</v>
      </c>
      <c r="H44" s="5" t="s">
        <v>165</v>
      </c>
      <c r="I44" s="1" t="s">
        <v>167</v>
      </c>
      <c r="J44" s="218" t="e">
        <f>J34+10*LOG('[1]DR &amp; overhead -SC (threshold)'!$G$45/'[1]DR &amp; overhead -SC (threshold)'!$G$47)+J33+J35+J36</f>
        <v>#REF!</v>
      </c>
      <c r="K44" s="150">
        <f>'Req EbNo values'!C16</f>
        <v>2.25</v>
      </c>
      <c r="L44" s="6" t="s">
        <v>60</v>
      </c>
    </row>
    <row r="45" spans="1:17" hidden="1">
      <c r="A45" s="223" t="s">
        <v>111</v>
      </c>
      <c r="B45" s="1"/>
      <c r="C45" s="219" t="e">
        <f>C42-C43-10*LOG(#REF!)-C44</f>
        <v>#REF!</v>
      </c>
      <c r="D45" s="153" t="e">
        <f>10*LOG(F19*F20*F29*(G25-(1+(B23/B22)*(1/F24-1))-(1+(B22/B22)*(1/F20-1))-(F18-1)/F20-((1+(B22/B22)*(1/F29-1))-1)/(F20*F19))+1)</f>
        <v>#NUM!</v>
      </c>
      <c r="E45" s="6" t="s">
        <v>3</v>
      </c>
      <c r="F45" s="95"/>
      <c r="H45" s="223" t="s">
        <v>111</v>
      </c>
      <c r="I45" s="1"/>
      <c r="J45" s="219" t="e">
        <f>J42-J43-10*LOG(#REF!)-J44</f>
        <v>#REF!</v>
      </c>
      <c r="K45" s="153" t="e">
        <f>10*LOG(M19*M20*M29*(N25-(1+(I23/I22)*(1/M24-1))-(1+(I22/I22)*(1/M20-1))-(M18-1)/M20-((1+(I22/I22)*(1/M29-1))-1)/(M20*M19))+1)</f>
        <v>#NUM!</v>
      </c>
      <c r="L45" s="6" t="s">
        <v>3</v>
      </c>
    </row>
    <row r="46" spans="1:17">
      <c r="A46" s="5" t="s">
        <v>150</v>
      </c>
      <c r="B46" s="220"/>
      <c r="C46" s="1"/>
      <c r="D46" s="151">
        <f>D30</f>
        <v>5</v>
      </c>
      <c r="E46" s="6" t="s">
        <v>3</v>
      </c>
      <c r="F46" s="29"/>
      <c r="H46" s="5" t="s">
        <v>150</v>
      </c>
      <c r="I46" s="220"/>
      <c r="J46" s="1"/>
      <c r="K46" s="151">
        <f>K30</f>
        <v>5</v>
      </c>
      <c r="L46" s="6" t="s">
        <v>3</v>
      </c>
    </row>
    <row r="47" spans="1:17" hidden="1">
      <c r="A47" s="5" t="s">
        <v>168</v>
      </c>
      <c r="B47" s="292"/>
      <c r="C47" s="1"/>
      <c r="D47" s="151">
        <f>'OH -SC SOQPSK (threshold)'!C7</f>
        <v>13645638.647799961</v>
      </c>
      <c r="E47" s="6" t="s">
        <v>47</v>
      </c>
      <c r="F47" s="51"/>
      <c r="G47" s="47"/>
      <c r="H47" s="5" t="s">
        <v>168</v>
      </c>
      <c r="I47" s="292"/>
      <c r="J47" s="1"/>
      <c r="K47" s="151">
        <f>'OH -SC (objective)'!C7</f>
        <v>40468374.51878567</v>
      </c>
      <c r="L47" s="6" t="s">
        <v>47</v>
      </c>
    </row>
    <row r="48" spans="1:17" s="60" customFormat="1" ht="26" customHeight="1" thickBot="1">
      <c r="A48" s="275" t="s">
        <v>141</v>
      </c>
      <c r="B48" s="305" t="s">
        <v>167</v>
      </c>
      <c r="C48" s="276"/>
      <c r="D48" s="277">
        <f>D43+D34+D33+D35+D36+10*LOG(D49)</f>
        <v>-96.611095042428218</v>
      </c>
      <c r="E48" s="123" t="s">
        <v>50</v>
      </c>
      <c r="F48" s="278"/>
      <c r="G48" s="129">
        <f>D43+D34+D33+D35+D36</f>
        <v>-169.72194629777465</v>
      </c>
      <c r="H48" s="275" t="s">
        <v>141</v>
      </c>
      <c r="I48" s="305" t="s">
        <v>167</v>
      </c>
      <c r="J48" s="276"/>
      <c r="K48" s="277">
        <f>K43+K34+K33+K35+K36+10*LOG(K49)</f>
        <v>-93.650788692134057</v>
      </c>
      <c r="L48" s="123" t="s">
        <v>50</v>
      </c>
      <c r="N48" s="129">
        <f>K43+K34+K33+K35+K36</f>
        <v>-171.48285888833146</v>
      </c>
    </row>
    <row r="49" spans="1:14">
      <c r="A49" s="288" t="s">
        <v>258</v>
      </c>
      <c r="B49" s="291"/>
      <c r="C49" s="289"/>
      <c r="D49" s="290">
        <f>D31</f>
        <v>20468457.971699942</v>
      </c>
      <c r="E49" s="87" t="s">
        <v>47</v>
      </c>
      <c r="F49" s="47"/>
      <c r="H49" s="288" t="s">
        <v>258</v>
      </c>
      <c r="I49" s="291"/>
      <c r="K49" s="296">
        <f>K31</f>
        <v>60702561.778178506</v>
      </c>
      <c r="L49" s="87" t="s">
        <v>47</v>
      </c>
    </row>
    <row r="50" spans="1:14" hidden="1">
      <c r="A50" s="285" t="s">
        <v>148</v>
      </c>
      <c r="B50" s="284"/>
      <c r="C50" s="284"/>
      <c r="D50" s="186">
        <f>10*LOG((1+(B23/B22)*(1/F24-1))+((1+(B22/B22)*(1/F20-1))-1)/F24+(F18-1)/(F24*F20)+((1+(B22/B22)*(1/F29-1))-1)/(F24*F20*F19)+(F30-1)/(F24*F20*F19*F29))</f>
        <v>1.636900939820082</v>
      </c>
      <c r="E50" s="14" t="s">
        <v>3</v>
      </c>
      <c r="F50" s="47"/>
      <c r="H50" s="285" t="s">
        <v>148</v>
      </c>
      <c r="I50" s="284"/>
      <c r="L50" s="14" t="s">
        <v>3</v>
      </c>
    </row>
    <row r="51" spans="1:14" hidden="1">
      <c r="A51" s="285" t="s">
        <v>170</v>
      </c>
      <c r="B51" s="284"/>
      <c r="C51" s="284"/>
      <c r="D51" s="152">
        <f>D52+10*LOG('Req EbNo values'!C12*'Req EbNo values'!D15)</f>
        <v>3.4993873660829991</v>
      </c>
      <c r="E51" s="14" t="s">
        <v>3</v>
      </c>
      <c r="F51" s="47"/>
      <c r="H51" s="285" t="s">
        <v>163</v>
      </c>
      <c r="I51" s="284"/>
      <c r="K51" s="152">
        <f>K44+10*LOG('Req EbNo values'!C12*'Req EbNo values'!D15)</f>
        <v>3.4993873660829991</v>
      </c>
      <c r="L51" s="14" t="s">
        <v>3</v>
      </c>
    </row>
    <row r="52" spans="1:14">
      <c r="A52" s="11" t="s">
        <v>289</v>
      </c>
      <c r="B52" s="1" t="s">
        <v>167</v>
      </c>
      <c r="C52" s="287"/>
      <c r="D52" s="152">
        <f>D34</f>
        <v>2.25</v>
      </c>
      <c r="E52" s="14" t="s">
        <v>3</v>
      </c>
      <c r="G52" s="100"/>
      <c r="H52" s="185" t="s">
        <v>166</v>
      </c>
      <c r="I52" s="1" t="s">
        <v>167</v>
      </c>
      <c r="K52" s="152">
        <f>K34</f>
        <v>0.48908740944318763</v>
      </c>
      <c r="L52" s="14" t="s">
        <v>3</v>
      </c>
    </row>
    <row r="53" spans="1:14" s="60" customFormat="1" ht="25" thickBot="1">
      <c r="A53" s="275" t="s">
        <v>144</v>
      </c>
      <c r="B53" s="304" t="s">
        <v>164</v>
      </c>
      <c r="C53" s="286"/>
      <c r="D53" s="277">
        <f>D46-174+D34+10*LOG(D49)+D33+D35+D36</f>
        <v>-90.639148744653568</v>
      </c>
      <c r="E53" s="123" t="s">
        <v>50</v>
      </c>
      <c r="F53" s="129">
        <f>D53-D48</f>
        <v>5.9719462977746502</v>
      </c>
      <c r="G53" s="129">
        <f>D46-174+D34+D33+D35+D36</f>
        <v>-163.75</v>
      </c>
      <c r="H53" s="275" t="s">
        <v>144</v>
      </c>
      <c r="I53" s="304" t="s">
        <v>164</v>
      </c>
      <c r="K53" s="277">
        <f>K46-174+K34+10*LOG(K49)+K33+K35+K36</f>
        <v>-87.678842394359407</v>
      </c>
      <c r="L53" s="123" t="s">
        <v>50</v>
      </c>
      <c r="M53" s="129">
        <f>K53-K48</f>
        <v>5.9719462977746502</v>
      </c>
      <c r="N53" s="129">
        <f>K46-174+K34+K33+K35+K36</f>
        <v>-165.51091259055681</v>
      </c>
    </row>
    <row r="54" spans="1:14">
      <c r="B54" s="50"/>
    </row>
    <row r="55" spans="1:14">
      <c r="B55" s="50"/>
    </row>
    <row r="56" spans="1:14">
      <c r="B56" s="50"/>
    </row>
    <row r="57" spans="1:14">
      <c r="B57" s="50"/>
    </row>
    <row r="58" spans="1:14">
      <c r="B58" s="50"/>
    </row>
    <row r="59" spans="1:14">
      <c r="B59" s="50"/>
    </row>
    <row r="60" spans="1:14">
      <c r="B60" s="50"/>
    </row>
    <row r="61" spans="1:14">
      <c r="B61" s="50"/>
    </row>
    <row r="62" spans="1:14">
      <c r="B62" s="50"/>
    </row>
    <row r="63" spans="1:14">
      <c r="B63" s="50"/>
    </row>
    <row r="64" spans="1:14">
      <c r="B64" s="50"/>
    </row>
    <row r="65" spans="2:2">
      <c r="B65" s="50"/>
    </row>
    <row r="66" spans="2:2">
      <c r="B66" s="50"/>
    </row>
    <row r="67" spans="2:2">
      <c r="B67" s="50"/>
    </row>
    <row r="68" spans="2:2">
      <c r="B68" s="50"/>
    </row>
    <row r="69" spans="2:2">
      <c r="B69" s="50"/>
    </row>
    <row r="70" spans="2:2">
      <c r="B70" s="50"/>
    </row>
    <row r="71" spans="2:2">
      <c r="B71" s="50"/>
    </row>
    <row r="72" spans="2:2">
      <c r="B72" s="50"/>
    </row>
    <row r="73" spans="2:2">
      <c r="B73" s="50"/>
    </row>
    <row r="74" spans="2:2">
      <c r="B74" s="50"/>
    </row>
    <row r="75" spans="2:2">
      <c r="B75" s="50"/>
    </row>
    <row r="76" spans="2:2">
      <c r="B76" s="50"/>
    </row>
    <row r="77" spans="2:2">
      <c r="B77" s="50"/>
    </row>
    <row r="78" spans="2:2">
      <c r="B78" s="50"/>
    </row>
    <row r="79" spans="2:2">
      <c r="B79" s="50"/>
    </row>
    <row r="80" spans="2:2">
      <c r="B80" s="50"/>
    </row>
    <row r="81" spans="2:2">
      <c r="B81" s="50"/>
    </row>
    <row r="82" spans="2:2">
      <c r="B82" s="50"/>
    </row>
    <row r="83" spans="2:2">
      <c r="B83" s="50"/>
    </row>
    <row r="84" spans="2:2">
      <c r="B84" s="50"/>
    </row>
    <row r="85" spans="2:2">
      <c r="B85" s="50"/>
    </row>
    <row r="86" spans="2:2">
      <c r="B86" s="50"/>
    </row>
    <row r="87" spans="2:2">
      <c r="B87" s="50"/>
    </row>
    <row r="88" spans="2:2">
      <c r="B88" s="50"/>
    </row>
    <row r="89" spans="2:2">
      <c r="B89" s="50"/>
    </row>
    <row r="90" spans="2:2">
      <c r="B90" s="50"/>
    </row>
    <row r="91" spans="2:2">
      <c r="B91" s="50"/>
    </row>
    <row r="92" spans="2:2">
      <c r="B92" s="50"/>
    </row>
    <row r="93" spans="2:2">
      <c r="B93" s="50"/>
    </row>
    <row r="94" spans="2:2">
      <c r="B94" s="50"/>
    </row>
    <row r="95" spans="2:2">
      <c r="B95" s="50"/>
    </row>
    <row r="96" spans="2:2">
      <c r="B96" s="50"/>
    </row>
    <row r="97" spans="2:2">
      <c r="B97" s="50"/>
    </row>
    <row r="98" spans="2:2">
      <c r="B98" s="50"/>
    </row>
    <row r="99" spans="2:2">
      <c r="B99" s="50"/>
    </row>
    <row r="100" spans="2:2">
      <c r="B100" s="50"/>
    </row>
    <row r="101" spans="2:2">
      <c r="B101" s="50"/>
    </row>
    <row r="102" spans="2:2">
      <c r="B102" s="50"/>
    </row>
    <row r="103" spans="2:2">
      <c r="B103" s="50"/>
    </row>
    <row r="104" spans="2:2">
      <c r="B104" s="50"/>
    </row>
    <row r="105" spans="2:2">
      <c r="B105" s="50"/>
    </row>
    <row r="106" spans="2:2">
      <c r="B106" s="50"/>
    </row>
    <row r="107" spans="2:2">
      <c r="B107" s="50"/>
    </row>
    <row r="108" spans="2:2">
      <c r="B108" s="50"/>
    </row>
    <row r="109" spans="2:2">
      <c r="B109" s="50"/>
    </row>
    <row r="110" spans="2:2">
      <c r="B110" s="50"/>
    </row>
    <row r="111" spans="2:2">
      <c r="B111" s="50"/>
    </row>
    <row r="112" spans="2:2">
      <c r="B112" s="50"/>
    </row>
    <row r="113" spans="2:2">
      <c r="B113" s="50"/>
    </row>
    <row r="114" spans="2:2">
      <c r="B114" s="50"/>
    </row>
    <row r="115" spans="2:2">
      <c r="B115" s="50"/>
    </row>
    <row r="116" spans="2:2">
      <c r="B116" s="50"/>
    </row>
    <row r="117" spans="2:2">
      <c r="B117" s="50"/>
    </row>
    <row r="118" spans="2:2">
      <c r="B118" s="50"/>
    </row>
    <row r="119" spans="2:2">
      <c r="B119" s="50"/>
    </row>
    <row r="120" spans="2:2">
      <c r="B120" s="50"/>
    </row>
    <row r="121" spans="2:2">
      <c r="B121" s="50"/>
    </row>
    <row r="122" spans="2:2">
      <c r="B122" s="50"/>
    </row>
    <row r="123" spans="2:2">
      <c r="B123" s="50"/>
    </row>
    <row r="124" spans="2:2">
      <c r="B124" s="50"/>
    </row>
    <row r="125" spans="2:2">
      <c r="B125" s="50"/>
    </row>
    <row r="126" spans="2:2">
      <c r="B126" s="50"/>
    </row>
    <row r="127" spans="2:2">
      <c r="B127" s="50"/>
    </row>
    <row r="128" spans="2:2">
      <c r="B128" s="50"/>
    </row>
    <row r="129" spans="2:2">
      <c r="B129" s="50"/>
    </row>
    <row r="130" spans="2:2">
      <c r="B130" s="50"/>
    </row>
    <row r="131" spans="2:2">
      <c r="B131" s="50"/>
    </row>
    <row r="132" spans="2:2">
      <c r="B132" s="50"/>
    </row>
    <row r="133" spans="2:2">
      <c r="B133" s="50"/>
    </row>
    <row r="134" spans="2:2">
      <c r="B134" s="50"/>
    </row>
    <row r="135" spans="2:2">
      <c r="B135" s="50"/>
    </row>
    <row r="136" spans="2:2">
      <c r="B136" s="50"/>
    </row>
    <row r="137" spans="2:2">
      <c r="B137" s="50"/>
    </row>
    <row r="138" spans="2:2">
      <c r="B138" s="50"/>
    </row>
    <row r="139" spans="2:2">
      <c r="B139" s="50"/>
    </row>
    <row r="140" spans="2:2">
      <c r="B140" s="50"/>
    </row>
    <row r="141" spans="2:2">
      <c r="B141" s="50"/>
    </row>
    <row r="142" spans="2:2">
      <c r="B142" s="50"/>
    </row>
    <row r="143" spans="2:2">
      <c r="B143" s="50"/>
    </row>
    <row r="144" spans="2:2">
      <c r="B144" s="50"/>
    </row>
    <row r="145" spans="2:2">
      <c r="B145" s="50"/>
    </row>
    <row r="146" spans="2:2">
      <c r="B146" s="50"/>
    </row>
    <row r="147" spans="2:2">
      <c r="B147" s="50"/>
    </row>
    <row r="148" spans="2:2">
      <c r="B148" s="50"/>
    </row>
    <row r="149" spans="2:2">
      <c r="B149" s="50"/>
    </row>
    <row r="150" spans="2:2">
      <c r="B150" s="50"/>
    </row>
    <row r="151" spans="2:2">
      <c r="B151" s="50"/>
    </row>
    <row r="152" spans="2:2">
      <c r="B152" s="50"/>
    </row>
    <row r="153" spans="2:2">
      <c r="B153" s="50"/>
    </row>
    <row r="154" spans="2:2">
      <c r="B154" s="50"/>
    </row>
    <row r="155" spans="2:2">
      <c r="B155" s="50"/>
    </row>
    <row r="156" spans="2:2">
      <c r="B156" s="50"/>
    </row>
    <row r="157" spans="2:2">
      <c r="B157" s="50"/>
    </row>
    <row r="158" spans="2:2">
      <c r="B158" s="50"/>
    </row>
    <row r="159" spans="2:2">
      <c r="B159" s="50"/>
    </row>
    <row r="160" spans="2:2">
      <c r="B160" s="50"/>
    </row>
    <row r="161" spans="2:2">
      <c r="B161" s="50"/>
    </row>
    <row r="162" spans="2:2">
      <c r="B162" s="50"/>
    </row>
    <row r="163" spans="2:2">
      <c r="B163" s="50"/>
    </row>
    <row r="164" spans="2:2">
      <c r="B164" s="50"/>
    </row>
    <row r="165" spans="2:2">
      <c r="B165" s="50"/>
    </row>
    <row r="166" spans="2:2">
      <c r="B166" s="50"/>
    </row>
    <row r="167" spans="2:2">
      <c r="B167" s="50"/>
    </row>
    <row r="168" spans="2:2">
      <c r="B168" s="50"/>
    </row>
    <row r="169" spans="2:2">
      <c r="B169" s="50"/>
    </row>
    <row r="170" spans="2:2">
      <c r="B170" s="50"/>
    </row>
    <row r="171" spans="2:2">
      <c r="B171" s="50"/>
    </row>
    <row r="172" spans="2:2">
      <c r="B172" s="50"/>
    </row>
    <row r="173" spans="2:2">
      <c r="B173" s="50"/>
    </row>
    <row r="174" spans="2:2">
      <c r="B174" s="50"/>
    </row>
    <row r="175" spans="2:2">
      <c r="B175" s="50"/>
    </row>
    <row r="176" spans="2:2">
      <c r="B176" s="50"/>
    </row>
    <row r="177" spans="2:2">
      <c r="B177" s="50"/>
    </row>
    <row r="178" spans="2:2">
      <c r="B178" s="50"/>
    </row>
  </sheetData>
  <phoneticPr fontId="2" type="noConversion"/>
  <pageMargins left="0.75" right="0.75" top="1" bottom="1" header="0.5" footer="0.5"/>
  <pageSetup orientation="portrait"/>
  <headerFooter alignWithMargins="0"/>
  <drawing r:id="rId1"/>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S106"/>
  <sheetViews>
    <sheetView topLeftCell="A4" zoomScale="150" zoomScaleNormal="150" zoomScalePageLayoutView="150" workbookViewId="0">
      <selection activeCell="D31" sqref="D31"/>
    </sheetView>
  </sheetViews>
  <sheetFormatPr baseColWidth="10" defaultColWidth="8.83203125" defaultRowHeight="12" x14ac:dyDescent="0"/>
  <cols>
    <col min="2" max="2" width="25.6640625" customWidth="1"/>
    <col min="3" max="3" width="22" customWidth="1"/>
    <col min="4" max="4" width="9.5" bestFit="1" customWidth="1"/>
    <col min="6" max="6" width="7.5" customWidth="1"/>
    <col min="7" max="7" width="8" customWidth="1"/>
    <col min="8" max="8" width="25.5" customWidth="1"/>
    <col min="9" max="9" width="21.83203125" customWidth="1"/>
    <col min="10" max="10" width="9.33203125" customWidth="1"/>
    <col min="14" max="14" width="25.6640625" customWidth="1"/>
    <col min="15" max="15" width="21.83203125" customWidth="1"/>
    <col min="16" max="16" width="9.1640625" bestFit="1" customWidth="1"/>
  </cols>
  <sheetData>
    <row r="2" spans="1:17">
      <c r="E2" s="47">
        <f>10*LOG(C5*1000)</f>
        <v>43.010299956639813</v>
      </c>
      <c r="F2" s="47"/>
      <c r="K2" s="47">
        <f>10*LOG(I5*1000)</f>
        <v>40.413926851582254</v>
      </c>
      <c r="L2" s="47"/>
      <c r="Q2" s="47">
        <f>10*LOG(O5*1000)</f>
        <v>43.010299956639813</v>
      </c>
    </row>
    <row r="3" spans="1:17" ht="13" thickBot="1"/>
    <row r="4" spans="1:17">
      <c r="A4" s="18"/>
      <c r="B4" s="8" t="s">
        <v>0</v>
      </c>
      <c r="C4" s="9"/>
      <c r="D4" s="171">
        <f>C6-C7+10*LOG(C5)</f>
        <v>51.577220985082704</v>
      </c>
      <c r="E4" s="10" t="s">
        <v>1</v>
      </c>
      <c r="F4" s="18"/>
      <c r="H4" s="233" t="s">
        <v>0</v>
      </c>
      <c r="I4" s="9"/>
      <c r="J4" s="171">
        <f>I6-I7+10*LOG(I5)</f>
        <v>40.523926851582253</v>
      </c>
      <c r="K4" s="10" t="s">
        <v>1</v>
      </c>
      <c r="L4" s="18"/>
      <c r="N4" s="8" t="s">
        <v>0</v>
      </c>
      <c r="O4" s="9"/>
      <c r="P4" s="171">
        <f>O6-O7+10*LOG(O5)</f>
        <v>43.120299956639812</v>
      </c>
      <c r="Q4" s="10" t="s">
        <v>1</v>
      </c>
    </row>
    <row r="5" spans="1:17">
      <c r="A5" s="18"/>
      <c r="B5" s="11" t="s">
        <v>130</v>
      </c>
      <c r="C5" s="49">
        <v>20</v>
      </c>
      <c r="D5" s="164"/>
      <c r="E5" s="14" t="s">
        <v>10</v>
      </c>
      <c r="F5" s="18"/>
      <c r="H5" s="166" t="s">
        <v>130</v>
      </c>
      <c r="I5" s="184">
        <v>11</v>
      </c>
      <c r="J5" s="172"/>
      <c r="K5" s="87" t="s">
        <v>10</v>
      </c>
      <c r="L5" s="18"/>
      <c r="N5" s="11" t="s">
        <v>130</v>
      </c>
      <c r="O5" s="184">
        <v>20</v>
      </c>
      <c r="P5" s="172"/>
      <c r="Q5" s="87" t="s">
        <v>10</v>
      </c>
    </row>
    <row r="6" spans="1:17">
      <c r="A6" s="18"/>
      <c r="B6" s="11" t="s">
        <v>134</v>
      </c>
      <c r="C6" s="406">
        <f>'TA -&gt; GS (SC-SOQPSK)'!$B$17</f>
        <v>39.566921028442891</v>
      </c>
      <c r="D6" s="164"/>
      <c r="E6" s="14" t="s">
        <v>9</v>
      </c>
      <c r="F6" s="18"/>
      <c r="H6" s="166" t="s">
        <v>134</v>
      </c>
      <c r="I6" s="20">
        <v>31.11</v>
      </c>
      <c r="J6" s="164"/>
      <c r="K6" s="14" t="s">
        <v>9</v>
      </c>
      <c r="L6" s="18"/>
      <c r="N6" s="11" t="s">
        <v>134</v>
      </c>
      <c r="O6" s="20">
        <v>31.11</v>
      </c>
      <c r="P6" s="164"/>
      <c r="Q6" s="14" t="s">
        <v>9</v>
      </c>
    </row>
    <row r="7" spans="1:17">
      <c r="A7" s="18"/>
      <c r="B7" s="11" t="s">
        <v>132</v>
      </c>
      <c r="C7" s="20">
        <v>1</v>
      </c>
      <c r="D7" s="165"/>
      <c r="E7" s="14" t="s">
        <v>3</v>
      </c>
      <c r="F7" s="18"/>
      <c r="H7" s="166" t="s">
        <v>132</v>
      </c>
      <c r="I7" s="20">
        <v>1</v>
      </c>
      <c r="J7" s="165"/>
      <c r="K7" s="14" t="s">
        <v>3</v>
      </c>
      <c r="L7" s="18"/>
      <c r="N7" s="11" t="s">
        <v>132</v>
      </c>
      <c r="O7" s="20">
        <v>1</v>
      </c>
      <c r="P7" s="165"/>
      <c r="Q7" s="14" t="s">
        <v>3</v>
      </c>
    </row>
    <row r="8" spans="1:17">
      <c r="A8" s="18"/>
      <c r="B8" s="11" t="s">
        <v>83</v>
      </c>
      <c r="C8" s="20"/>
      <c r="D8" s="165">
        <v>3</v>
      </c>
      <c r="E8" s="14"/>
      <c r="F8" s="18"/>
      <c r="H8" s="166" t="s">
        <v>83</v>
      </c>
      <c r="I8" s="20"/>
      <c r="J8" s="165">
        <v>3</v>
      </c>
      <c r="K8" s="14"/>
      <c r="L8" s="18"/>
      <c r="N8" s="11" t="s">
        <v>83</v>
      </c>
      <c r="O8" s="20"/>
      <c r="P8" s="165">
        <v>3</v>
      </c>
      <c r="Q8" s="14"/>
    </row>
    <row r="9" spans="1:17">
      <c r="A9" s="18"/>
      <c r="B9" s="11" t="s">
        <v>2</v>
      </c>
      <c r="C9" s="12"/>
      <c r="D9" s="151">
        <f>20*LOG10(4*PI()*D11*1.852*1000/(300000000/D10))</f>
        <v>155.12033861465088</v>
      </c>
      <c r="E9" s="14" t="s">
        <v>3</v>
      </c>
      <c r="F9" s="18"/>
      <c r="H9" s="166" t="s">
        <v>2</v>
      </c>
      <c r="I9" s="12"/>
      <c r="J9" s="151">
        <f>20*LOG10(4*PI()*J11*1.852*1000/(300000000/J10))</f>
        <v>143.13802640102725</v>
      </c>
      <c r="K9" s="14" t="s">
        <v>3</v>
      </c>
      <c r="L9" s="18"/>
      <c r="N9" s="11" t="s">
        <v>2</v>
      </c>
      <c r="O9" s="12"/>
      <c r="P9" s="151">
        <f>20*LOG10(4*PI()*P11*1.852*1000/(300000000/P10))</f>
        <v>138.25552351447709</v>
      </c>
      <c r="Q9" s="14" t="s">
        <v>3</v>
      </c>
    </row>
    <row r="10" spans="1:17">
      <c r="A10" s="18"/>
      <c r="B10" s="11"/>
      <c r="C10" s="12" t="s">
        <v>12</v>
      </c>
      <c r="D10" s="159">
        <f>'TA -&gt; GS (SC-SOQPSK)'!$D$10</f>
        <v>4900000000</v>
      </c>
      <c r="E10" s="14"/>
      <c r="F10" s="18"/>
      <c r="H10" s="166"/>
      <c r="I10" s="12" t="s">
        <v>12</v>
      </c>
      <c r="J10" s="159">
        <f>1850000000</f>
        <v>1850000000</v>
      </c>
      <c r="K10" s="14"/>
      <c r="L10" s="18"/>
      <c r="N10" s="11"/>
      <c r="O10" s="12" t="s">
        <v>12</v>
      </c>
      <c r="P10" s="159">
        <f>1850000000</f>
        <v>1850000000</v>
      </c>
      <c r="Q10" s="14"/>
    </row>
    <row r="11" spans="1:17">
      <c r="A11" s="18"/>
      <c r="B11" s="11"/>
      <c r="C11" s="12" t="s">
        <v>13</v>
      </c>
      <c r="D11" s="170">
        <f>'TA -&gt; GS (SC-SOQPSK)'!$D$11</f>
        <v>150</v>
      </c>
      <c r="E11" s="14" t="s">
        <v>61</v>
      </c>
      <c r="F11" s="18"/>
      <c r="H11" s="166"/>
      <c r="I11" s="12" t="s">
        <v>13</v>
      </c>
      <c r="J11" s="170">
        <v>100</v>
      </c>
      <c r="K11" s="14" t="s">
        <v>61</v>
      </c>
      <c r="L11" s="18"/>
      <c r="N11" s="11"/>
      <c r="O11" s="12" t="s">
        <v>13</v>
      </c>
      <c r="P11" s="170">
        <v>57</v>
      </c>
      <c r="Q11" s="14" t="s">
        <v>61</v>
      </c>
    </row>
    <row r="12" spans="1:17">
      <c r="A12" s="18"/>
      <c r="B12" s="11" t="s">
        <v>4</v>
      </c>
      <c r="C12" s="12"/>
      <c r="D12" s="151">
        <f>10*LOG(1.38*10^-23)</f>
        <v>-228.60120913598763</v>
      </c>
      <c r="E12" s="14"/>
      <c r="F12" s="18"/>
      <c r="H12" s="166" t="s">
        <v>4</v>
      </c>
      <c r="I12" s="12"/>
      <c r="J12" s="151">
        <f>10*LOG(1.38*10^-23)</f>
        <v>-228.60120913598763</v>
      </c>
      <c r="K12" s="14"/>
      <c r="L12" s="18"/>
      <c r="N12" s="11" t="s">
        <v>4</v>
      </c>
      <c r="O12" s="12"/>
      <c r="P12" s="151">
        <f>10*LOG(1.38*10^-23)</f>
        <v>-228.60120913598763</v>
      </c>
      <c r="Q12" s="14"/>
    </row>
    <row r="13" spans="1:17">
      <c r="A13" s="18"/>
      <c r="B13" s="11" t="s">
        <v>5</v>
      </c>
      <c r="C13" s="12"/>
      <c r="D13" s="151">
        <v>1</v>
      </c>
      <c r="E13" s="14" t="s">
        <v>3</v>
      </c>
      <c r="F13" s="18"/>
      <c r="H13" s="166" t="s">
        <v>5</v>
      </c>
      <c r="I13" s="12"/>
      <c r="J13" s="151">
        <v>1</v>
      </c>
      <c r="K13" s="14" t="s">
        <v>3</v>
      </c>
      <c r="L13" s="18"/>
      <c r="N13" s="11" t="s">
        <v>5</v>
      </c>
      <c r="O13" s="12"/>
      <c r="P13" s="151">
        <v>1</v>
      </c>
      <c r="Q13" s="14" t="s">
        <v>3</v>
      </c>
    </row>
    <row r="14" spans="1:17">
      <c r="A14" s="18"/>
      <c r="B14" s="11" t="s">
        <v>137</v>
      </c>
      <c r="C14" s="12"/>
      <c r="D14" s="150">
        <f>C17-10*LOG10(C25)-C24-C20</f>
        <v>-35.618621457666279</v>
      </c>
      <c r="E14" s="14" t="s">
        <v>8</v>
      </c>
      <c r="F14" s="18"/>
      <c r="H14" s="11" t="s">
        <v>137</v>
      </c>
      <c r="I14" s="12"/>
      <c r="J14" s="150">
        <f>I17-10*LOG10(I25)-I24-I20</f>
        <v>-35.670544026014532</v>
      </c>
      <c r="K14" s="14" t="s">
        <v>8</v>
      </c>
      <c r="L14" s="18"/>
      <c r="N14" s="11" t="s">
        <v>137</v>
      </c>
      <c r="O14" s="12"/>
      <c r="P14" s="150">
        <f>O17-10*LOG10(O25)-O24-O20</f>
        <v>-35.670544026014532</v>
      </c>
      <c r="Q14" s="14" t="s">
        <v>8</v>
      </c>
    </row>
    <row r="15" spans="1:17">
      <c r="A15" s="18"/>
      <c r="B15" s="11" t="s">
        <v>91</v>
      </c>
      <c r="C15" s="93" t="s">
        <v>84</v>
      </c>
      <c r="D15" s="151" t="s">
        <v>84</v>
      </c>
      <c r="E15" s="14" t="s">
        <v>17</v>
      </c>
      <c r="F15" s="18"/>
      <c r="H15" s="166" t="s">
        <v>91</v>
      </c>
      <c r="I15" s="93" t="s">
        <v>84</v>
      </c>
      <c r="J15" s="151" t="s">
        <v>84</v>
      </c>
      <c r="K15" s="14" t="s">
        <v>17</v>
      </c>
      <c r="L15" s="18"/>
      <c r="N15" s="11" t="s">
        <v>91</v>
      </c>
      <c r="O15" s="93" t="s">
        <v>84</v>
      </c>
      <c r="P15" s="151" t="s">
        <v>84</v>
      </c>
      <c r="Q15" s="14" t="s">
        <v>17</v>
      </c>
    </row>
    <row r="16" spans="1:17">
      <c r="A16" s="18"/>
      <c r="B16" s="11" t="s">
        <v>92</v>
      </c>
      <c r="C16" s="94" t="s">
        <v>93</v>
      </c>
      <c r="D16" s="151"/>
      <c r="E16" s="14" t="s">
        <v>19</v>
      </c>
      <c r="F16" s="18"/>
      <c r="H16" s="166" t="s">
        <v>92</v>
      </c>
      <c r="I16" s="94" t="s">
        <v>93</v>
      </c>
      <c r="J16" s="151"/>
      <c r="K16" s="14" t="s">
        <v>19</v>
      </c>
      <c r="L16" s="18"/>
      <c r="N16" s="11" t="s">
        <v>92</v>
      </c>
      <c r="O16" s="94" t="s">
        <v>93</v>
      </c>
      <c r="P16" s="151"/>
      <c r="Q16" s="14" t="s">
        <v>19</v>
      </c>
    </row>
    <row r="17" spans="1:19">
      <c r="A17" s="18"/>
      <c r="B17" s="11" t="s">
        <v>96</v>
      </c>
      <c r="C17" s="35">
        <v>-5</v>
      </c>
      <c r="D17" s="151"/>
      <c r="E17" s="14" t="s">
        <v>9</v>
      </c>
      <c r="F17" s="29">
        <f>10^(C17/10)</f>
        <v>0.31622776601683794</v>
      </c>
      <c r="G17" s="29"/>
      <c r="H17" s="166" t="s">
        <v>96</v>
      </c>
      <c r="I17" s="35">
        <v>-5</v>
      </c>
      <c r="J17" s="151"/>
      <c r="K17" s="14" t="s">
        <v>9</v>
      </c>
      <c r="L17" s="29">
        <f>10^(I17/10)</f>
        <v>0.31622776601683794</v>
      </c>
      <c r="M17" s="29"/>
      <c r="N17" s="11" t="s">
        <v>96</v>
      </c>
      <c r="O17" s="35">
        <v>-5</v>
      </c>
      <c r="P17" s="151"/>
      <c r="Q17" s="14" t="s">
        <v>9</v>
      </c>
      <c r="R17" s="29">
        <f>10^(O17/10)</f>
        <v>0.31622776601683794</v>
      </c>
      <c r="S17" s="29"/>
    </row>
    <row r="18" spans="1:19">
      <c r="A18" s="18"/>
      <c r="B18" s="11" t="s">
        <v>86</v>
      </c>
      <c r="C18" s="12">
        <v>3</v>
      </c>
      <c r="D18" s="151"/>
      <c r="E18" s="14" t="s">
        <v>3</v>
      </c>
      <c r="F18" s="29">
        <f>10^(C18/10)</f>
        <v>1.9952623149688797</v>
      </c>
      <c r="G18" s="29"/>
      <c r="H18" s="166" t="s">
        <v>86</v>
      </c>
      <c r="I18" s="12">
        <v>3</v>
      </c>
      <c r="J18" s="151"/>
      <c r="K18" s="14" t="s">
        <v>3</v>
      </c>
      <c r="L18" s="29">
        <f>10^(I18/10)</f>
        <v>1.9952623149688797</v>
      </c>
      <c r="M18" s="29"/>
      <c r="N18" s="11" t="s">
        <v>86</v>
      </c>
      <c r="O18" s="12">
        <v>3</v>
      </c>
      <c r="P18" s="151"/>
      <c r="Q18" s="14" t="s">
        <v>3</v>
      </c>
      <c r="R18" s="29">
        <f>10^(O18/10)</f>
        <v>1.9952623149688797</v>
      </c>
      <c r="S18" s="29"/>
    </row>
    <row r="19" spans="1:19">
      <c r="A19" s="18"/>
      <c r="B19" s="11" t="s">
        <v>116</v>
      </c>
      <c r="C19" s="12">
        <v>25</v>
      </c>
      <c r="D19" s="151"/>
      <c r="E19" s="14" t="s">
        <v>3</v>
      </c>
      <c r="F19" s="63">
        <f>10^(C19/10)</f>
        <v>316.22776601683825</v>
      </c>
      <c r="G19" s="29"/>
      <c r="H19" s="166" t="s">
        <v>116</v>
      </c>
      <c r="I19" s="12">
        <v>25</v>
      </c>
      <c r="J19" s="151"/>
      <c r="K19" s="14" t="s">
        <v>3</v>
      </c>
      <c r="L19" s="63">
        <f>10^(I19/10)</f>
        <v>316.22776601683825</v>
      </c>
      <c r="M19" s="29"/>
      <c r="N19" s="11" t="s">
        <v>116</v>
      </c>
      <c r="O19" s="12">
        <v>25</v>
      </c>
      <c r="P19" s="151"/>
      <c r="Q19" s="14" t="s">
        <v>3</v>
      </c>
      <c r="R19" s="63">
        <f>10^(O19/10)</f>
        <v>316.22776601683825</v>
      </c>
      <c r="S19" s="29"/>
    </row>
    <row r="20" spans="1:19">
      <c r="A20" s="18"/>
      <c r="B20" s="11" t="s">
        <v>115</v>
      </c>
      <c r="C20" s="12">
        <v>1</v>
      </c>
      <c r="D20" s="151"/>
      <c r="E20" s="14" t="s">
        <v>3</v>
      </c>
      <c r="F20" s="29">
        <f>10^(-C20/10)</f>
        <v>0.79432823472428149</v>
      </c>
      <c r="G20" s="29"/>
      <c r="H20" s="166" t="s">
        <v>115</v>
      </c>
      <c r="I20" s="12">
        <v>1</v>
      </c>
      <c r="J20" s="151"/>
      <c r="K20" s="14" t="s">
        <v>3</v>
      </c>
      <c r="L20" s="29">
        <f>10^(-I20/10)</f>
        <v>0.79432823472428149</v>
      </c>
      <c r="M20" s="29"/>
      <c r="N20" s="11" t="s">
        <v>115</v>
      </c>
      <c r="O20" s="12">
        <v>1</v>
      </c>
      <c r="P20" s="151"/>
      <c r="Q20" s="14" t="s">
        <v>3</v>
      </c>
      <c r="R20" s="29">
        <f>10^(-O20/10)</f>
        <v>0.79432823472428149</v>
      </c>
      <c r="S20" s="29"/>
    </row>
    <row r="21" spans="1:19">
      <c r="A21" s="18"/>
      <c r="B21" s="11" t="s">
        <v>16</v>
      </c>
      <c r="C21" s="12">
        <v>150</v>
      </c>
      <c r="D21" s="151"/>
      <c r="E21" s="14" t="s">
        <v>11</v>
      </c>
      <c r="F21" s="29"/>
      <c r="G21" s="29"/>
      <c r="H21" s="166" t="s">
        <v>16</v>
      </c>
      <c r="I21" s="12">
        <v>150</v>
      </c>
      <c r="J21" s="151"/>
      <c r="K21" s="14" t="s">
        <v>11</v>
      </c>
      <c r="L21" s="29"/>
      <c r="M21" s="29"/>
      <c r="N21" s="11" t="s">
        <v>16</v>
      </c>
      <c r="O21" s="12">
        <v>150</v>
      </c>
      <c r="P21" s="151"/>
      <c r="Q21" s="14" t="s">
        <v>11</v>
      </c>
      <c r="R21" s="29"/>
      <c r="S21" s="29"/>
    </row>
    <row r="22" spans="1:19">
      <c r="A22" s="18"/>
      <c r="B22" s="11" t="s">
        <v>90</v>
      </c>
      <c r="C22" s="12">
        <v>300</v>
      </c>
      <c r="D22" s="151"/>
      <c r="E22" s="14" t="s">
        <v>11</v>
      </c>
      <c r="F22" s="29"/>
      <c r="G22" s="29"/>
      <c r="H22" s="166" t="s">
        <v>90</v>
      </c>
      <c r="I22" s="12">
        <v>300</v>
      </c>
      <c r="J22" s="151"/>
      <c r="K22" s="14" t="s">
        <v>11</v>
      </c>
      <c r="L22" s="29"/>
      <c r="M22" s="29"/>
      <c r="N22" s="11" t="s">
        <v>90</v>
      </c>
      <c r="O22" s="12">
        <v>300</v>
      </c>
      <c r="P22" s="151"/>
      <c r="Q22" s="14" t="s">
        <v>11</v>
      </c>
      <c r="R22" s="29"/>
      <c r="S22" s="29"/>
    </row>
    <row r="23" spans="1:19">
      <c r="A23" s="18"/>
      <c r="B23" s="11" t="s">
        <v>117</v>
      </c>
      <c r="C23" s="35">
        <v>350</v>
      </c>
      <c r="D23" s="151"/>
      <c r="E23" s="14" t="s">
        <v>11</v>
      </c>
      <c r="F23" s="29">
        <f>10*LOG(1+C23/C22)</f>
        <v>3.3579210192319318</v>
      </c>
      <c r="G23" s="29">
        <f>10^(F23/10)</f>
        <v>2.1666666666666674</v>
      </c>
      <c r="H23" s="166" t="s">
        <v>117</v>
      </c>
      <c r="I23" s="35">
        <v>350</v>
      </c>
      <c r="J23" s="151"/>
      <c r="K23" s="14" t="s">
        <v>11</v>
      </c>
      <c r="L23" s="29">
        <f>10*LOG(1+I23/I22)</f>
        <v>3.3579210192319318</v>
      </c>
      <c r="M23" s="29">
        <f>10^(L23/10)</f>
        <v>2.1666666666666674</v>
      </c>
      <c r="N23" s="11" t="s">
        <v>117</v>
      </c>
      <c r="O23" s="35">
        <v>350</v>
      </c>
      <c r="P23" s="151"/>
      <c r="Q23" s="14" t="s">
        <v>11</v>
      </c>
      <c r="R23" s="29">
        <f>10*LOG(1+O23/O22)</f>
        <v>3.3579210192319318</v>
      </c>
      <c r="S23" s="29">
        <f>10^(R23/10)</f>
        <v>2.1666666666666674</v>
      </c>
    </row>
    <row r="24" spans="1:19">
      <c r="A24" s="18"/>
      <c r="B24" s="11" t="s">
        <v>118</v>
      </c>
      <c r="C24" s="12">
        <v>2</v>
      </c>
      <c r="D24" s="151"/>
      <c r="E24" s="14" t="s">
        <v>3</v>
      </c>
      <c r="F24" s="29">
        <f>10^(-C24/10)</f>
        <v>0.63095734448019325</v>
      </c>
      <c r="G24" s="29"/>
      <c r="H24" s="166" t="s">
        <v>118</v>
      </c>
      <c r="I24" s="12">
        <v>2</v>
      </c>
      <c r="J24" s="151"/>
      <c r="K24" s="14" t="s">
        <v>3</v>
      </c>
      <c r="L24" s="29">
        <f>10^(-I24/10)</f>
        <v>0.63095734448019325</v>
      </c>
      <c r="M24" s="29"/>
      <c r="N24" s="11" t="s">
        <v>118</v>
      </c>
      <c r="O24" s="12">
        <v>2</v>
      </c>
      <c r="P24" s="151"/>
      <c r="Q24" s="14" t="s">
        <v>3</v>
      </c>
      <c r="R24" s="29">
        <f>10^(-O24/10)</f>
        <v>0.63095734448019325</v>
      </c>
      <c r="S24" s="29"/>
    </row>
    <row r="25" spans="1:19">
      <c r="A25" s="18"/>
      <c r="B25" s="11" t="s">
        <v>87</v>
      </c>
      <c r="C25" s="35">
        <f>C23*(1/F24-1)*(F24*F20)+(C21/2+C22/2)*(F24*F20)+C22*(1/F20-1)*F20+C22*(F18-1)+C22*(1/F29-1)/F19+C22*(F30-1)/(F19*F29)</f>
        <v>577.9125766411313</v>
      </c>
      <c r="D25" s="151"/>
      <c r="E25" s="14" t="s">
        <v>11</v>
      </c>
      <c r="F25" s="29">
        <f>10*LOG(1+C25/C22)</f>
        <v>4.6633001588723495</v>
      </c>
      <c r="G25" s="29">
        <f>10^(F25/10)</f>
        <v>2.9263752554704379</v>
      </c>
      <c r="H25" s="11" t="s">
        <v>87</v>
      </c>
      <c r="I25" s="35">
        <f>I23*(1/L24-1)*(L24*L20)+(I21/2+I22/2)*(L24*L20)+I22*(1/L20-1)*L20+I22*(L18-1)+I22*(1/L29-1)/L19+I22*(L30-1)/(L19*L29)</f>
        <v>584.86334340959456</v>
      </c>
      <c r="J25" s="151"/>
      <c r="K25" s="14" t="s">
        <v>11</v>
      </c>
      <c r="L25" s="29">
        <f>10*LOG(1+I25/I22)</f>
        <v>4.6975494955355144</v>
      </c>
      <c r="M25" s="29">
        <f>10^(L25/10)</f>
        <v>2.9495444780319824</v>
      </c>
      <c r="N25" s="11" t="s">
        <v>87</v>
      </c>
      <c r="O25" s="35">
        <f>O23*(1/R24-1)*(R24*R20)+(O21/2+O22/2)*(R24*R20)+O22*(1/R20-1)*R20+O22*(R18-1)+O22*(1/R29-1)/R19+O22*(R30-1)/(R19*R29)</f>
        <v>584.86334340959456</v>
      </c>
      <c r="P25" s="151"/>
      <c r="Q25" s="14" t="s">
        <v>11</v>
      </c>
      <c r="R25" s="29">
        <f>10*LOG(1+O25/O22)</f>
        <v>4.6975494955355144</v>
      </c>
      <c r="S25" s="29">
        <f>10^(R25/10)</f>
        <v>2.9495444780319824</v>
      </c>
    </row>
    <row r="26" spans="1:19">
      <c r="A26" s="18"/>
      <c r="B26" s="11" t="s">
        <v>143</v>
      </c>
      <c r="C26" s="1"/>
      <c r="D26" s="151">
        <v>1</v>
      </c>
      <c r="E26" s="6" t="s">
        <v>3</v>
      </c>
      <c r="F26" s="29">
        <f>10^(-D26/10)</f>
        <v>0.79432823472428149</v>
      </c>
      <c r="G26" s="29"/>
      <c r="H26" s="11" t="s">
        <v>143</v>
      </c>
      <c r="I26" s="1"/>
      <c r="J26" s="151">
        <v>1</v>
      </c>
      <c r="K26" s="6" t="s">
        <v>3</v>
      </c>
      <c r="L26" s="29">
        <f>10^(-J26/10)</f>
        <v>0.79432823472428149</v>
      </c>
      <c r="M26" s="29"/>
      <c r="N26" s="11" t="s">
        <v>143</v>
      </c>
      <c r="O26" s="1"/>
      <c r="P26" s="151">
        <v>1</v>
      </c>
      <c r="Q26" s="6" t="s">
        <v>3</v>
      </c>
      <c r="R26" s="29">
        <f>10^(-P26/10)</f>
        <v>0.79432823472428149</v>
      </c>
      <c r="S26" s="29"/>
    </row>
    <row r="27" spans="1:19">
      <c r="A27" s="18"/>
      <c r="B27" s="11" t="s">
        <v>88</v>
      </c>
      <c r="C27" s="1"/>
      <c r="D27" s="151"/>
      <c r="E27" s="6" t="s">
        <v>3</v>
      </c>
      <c r="F27" s="29"/>
      <c r="G27" s="29"/>
      <c r="H27" s="166" t="s">
        <v>88</v>
      </c>
      <c r="I27" s="1"/>
      <c r="J27" s="151"/>
      <c r="K27" s="6" t="s">
        <v>3</v>
      </c>
      <c r="L27" s="29"/>
      <c r="M27" s="29"/>
      <c r="N27" s="11" t="s">
        <v>88</v>
      </c>
      <c r="O27" s="1"/>
      <c r="P27" s="151"/>
      <c r="Q27" s="6" t="s">
        <v>3</v>
      </c>
      <c r="R27" s="29"/>
      <c r="S27" s="29"/>
    </row>
    <row r="28" spans="1:19">
      <c r="A28" s="18"/>
      <c r="B28" s="11" t="s">
        <v>89</v>
      </c>
      <c r="C28" s="12"/>
      <c r="D28" s="151">
        <v>3</v>
      </c>
      <c r="E28" s="14" t="s">
        <v>3</v>
      </c>
      <c r="F28" s="29">
        <f>10^(-D28/10)</f>
        <v>0.50118723362727224</v>
      </c>
      <c r="G28" s="29"/>
      <c r="H28" s="166" t="s">
        <v>89</v>
      </c>
      <c r="I28" s="12"/>
      <c r="J28" s="151">
        <v>3</v>
      </c>
      <c r="K28" s="14" t="s">
        <v>3</v>
      </c>
      <c r="L28" s="29">
        <f>10^(-J28/10)</f>
        <v>0.50118723362727224</v>
      </c>
      <c r="M28" s="29"/>
      <c r="N28" s="11" t="s">
        <v>89</v>
      </c>
      <c r="O28" s="12"/>
      <c r="P28" s="151">
        <v>3</v>
      </c>
      <c r="Q28" s="14" t="s">
        <v>3</v>
      </c>
      <c r="R28" s="29">
        <f>10^(-P28/10)</f>
        <v>0.50118723362727224</v>
      </c>
      <c r="S28" s="29"/>
    </row>
    <row r="29" spans="1:19">
      <c r="A29" s="18"/>
      <c r="B29" s="11" t="s">
        <v>112</v>
      </c>
      <c r="C29" s="12"/>
      <c r="D29" s="150">
        <v>0.3</v>
      </c>
      <c r="E29" s="14" t="s">
        <v>3</v>
      </c>
      <c r="F29" s="29">
        <f>10^(-D29/10)</f>
        <v>0.93325430079699101</v>
      </c>
      <c r="G29" s="29"/>
      <c r="H29" s="166" t="s">
        <v>112</v>
      </c>
      <c r="I29" s="12"/>
      <c r="J29" s="150">
        <v>0.3</v>
      </c>
      <c r="K29" s="14" t="s">
        <v>3</v>
      </c>
      <c r="L29" s="29">
        <f>10^(-J29/10)</f>
        <v>0.93325430079699101</v>
      </c>
      <c r="M29" s="29"/>
      <c r="N29" s="11" t="s">
        <v>112</v>
      </c>
      <c r="O29" s="12"/>
      <c r="P29" s="150">
        <v>0.3</v>
      </c>
      <c r="Q29" s="14" t="s">
        <v>3</v>
      </c>
      <c r="R29" s="29">
        <f>10^(-P29/10)</f>
        <v>0.93325430079699101</v>
      </c>
      <c r="S29" s="29"/>
    </row>
    <row r="30" spans="1:19">
      <c r="A30" s="18"/>
      <c r="B30" s="11" t="s">
        <v>110</v>
      </c>
      <c r="C30" s="12"/>
      <c r="D30" s="170">
        <v>5</v>
      </c>
      <c r="E30" s="14" t="s">
        <v>3</v>
      </c>
      <c r="F30" s="29">
        <f>10^(D30/10)</f>
        <v>3.1622776601683795</v>
      </c>
      <c r="G30" s="29"/>
      <c r="H30" s="166" t="s">
        <v>110</v>
      </c>
      <c r="I30" s="12"/>
      <c r="J30" s="170">
        <v>10</v>
      </c>
      <c r="K30" s="14" t="s">
        <v>3</v>
      </c>
      <c r="L30" s="29">
        <f>10^(J30/10)</f>
        <v>10</v>
      </c>
      <c r="M30" s="29"/>
      <c r="N30" s="11" t="s">
        <v>110</v>
      </c>
      <c r="O30" s="12"/>
      <c r="P30" s="170">
        <v>10</v>
      </c>
      <c r="Q30" s="14" t="s">
        <v>3</v>
      </c>
      <c r="R30" s="29">
        <f>10^(P30/10)</f>
        <v>10</v>
      </c>
      <c r="S30" s="29"/>
    </row>
    <row r="31" spans="1:19" s="60" customFormat="1" ht="24">
      <c r="A31" s="196"/>
      <c r="B31" s="179"/>
      <c r="C31" s="175" t="s">
        <v>261</v>
      </c>
      <c r="D31" s="227">
        <f>'TA -&gt; GS (SC-SOQPSK)'!D31</f>
        <v>20468457.971699942</v>
      </c>
      <c r="E31" s="226" t="s">
        <v>47</v>
      </c>
      <c r="F31" s="111"/>
      <c r="G31" s="111"/>
      <c r="H31" s="179"/>
      <c r="I31" s="175" t="s">
        <v>260</v>
      </c>
      <c r="J31" s="227">
        <f>'TA -&gt; GS (MC-QPSK)'!D31</f>
        <v>21594179.806492455</v>
      </c>
      <c r="K31" s="226" t="s">
        <v>47</v>
      </c>
      <c r="L31" s="196"/>
      <c r="N31" s="179"/>
      <c r="O31" s="175" t="s">
        <v>259</v>
      </c>
      <c r="P31" s="227">
        <f>'TA -&gt; GS (MC-QAM)'!D31</f>
        <v>43179426.728933506</v>
      </c>
      <c r="Q31" s="226" t="s">
        <v>47</v>
      </c>
    </row>
    <row r="32" spans="1:19">
      <c r="A32" s="18"/>
      <c r="B32" s="166" t="s">
        <v>258</v>
      </c>
      <c r="C32" s="12"/>
      <c r="D32" s="151">
        <f>10*LOG10(D31)</f>
        <v>73.110851255346432</v>
      </c>
      <c r="E32" s="14" t="s">
        <v>7</v>
      </c>
      <c r="F32" s="18"/>
      <c r="H32" s="166" t="s">
        <v>258</v>
      </c>
      <c r="I32" s="12"/>
      <c r="J32" s="151">
        <f>10*LOG10(J31)</f>
        <v>73.343367132559848</v>
      </c>
      <c r="K32" s="14" t="s">
        <v>7</v>
      </c>
      <c r="L32" s="18"/>
      <c r="N32" s="166" t="s">
        <v>258</v>
      </c>
      <c r="O32" s="12"/>
      <c r="P32" s="151">
        <f>10*LOG10(P31)</f>
        <v>76.352768721317574</v>
      </c>
      <c r="Q32" s="14" t="s">
        <v>7</v>
      </c>
    </row>
    <row r="33" spans="1:19">
      <c r="A33" s="18"/>
      <c r="B33" s="185" t="s">
        <v>100</v>
      </c>
      <c r="C33" s="12"/>
      <c r="D33" s="151">
        <v>0</v>
      </c>
      <c r="E33" s="14" t="s">
        <v>3</v>
      </c>
      <c r="F33" s="18"/>
      <c r="H33" s="185" t="s">
        <v>100</v>
      </c>
      <c r="I33" s="12"/>
      <c r="J33" s="151">
        <v>1</v>
      </c>
      <c r="K33" s="14" t="s">
        <v>3</v>
      </c>
      <c r="L33" s="18"/>
      <c r="N33" s="185" t="s">
        <v>100</v>
      </c>
      <c r="O33" s="12"/>
      <c r="P33" s="151">
        <v>1</v>
      </c>
      <c r="Q33" s="14" t="s">
        <v>3</v>
      </c>
    </row>
    <row r="34" spans="1:19">
      <c r="A34" s="18"/>
      <c r="B34" s="166" t="s">
        <v>289</v>
      </c>
      <c r="C34" s="12" t="s">
        <v>97</v>
      </c>
      <c r="D34" s="149">
        <f>D44</f>
        <v>2.25</v>
      </c>
      <c r="E34" s="14" t="s">
        <v>3</v>
      </c>
      <c r="F34" s="18"/>
      <c r="H34" s="166" t="s">
        <v>166</v>
      </c>
      <c r="I34" s="12" t="s">
        <v>6</v>
      </c>
      <c r="J34" s="150">
        <f>'Req EbNo values'!$C$6</f>
        <v>2.35</v>
      </c>
      <c r="K34" s="14" t="s">
        <v>3</v>
      </c>
      <c r="L34" s="18"/>
      <c r="N34" s="166" t="s">
        <v>166</v>
      </c>
      <c r="O34" s="12" t="s">
        <v>98</v>
      </c>
      <c r="P34" s="150">
        <f>'Req EbNo values'!C9</f>
        <v>6.5</v>
      </c>
      <c r="Q34" s="14" t="s">
        <v>3</v>
      </c>
    </row>
    <row r="35" spans="1:19">
      <c r="A35" s="18"/>
      <c r="B35" s="11" t="s">
        <v>113</v>
      </c>
      <c r="C35" s="12"/>
      <c r="D35" s="151">
        <v>2</v>
      </c>
      <c r="E35" s="14" t="s">
        <v>3</v>
      </c>
      <c r="F35" s="18"/>
      <c r="H35" s="11" t="s">
        <v>113</v>
      </c>
      <c r="I35" s="12"/>
      <c r="J35" s="151">
        <v>2</v>
      </c>
      <c r="K35" s="14" t="s">
        <v>3</v>
      </c>
      <c r="L35" s="18"/>
      <c r="N35" s="11" t="s">
        <v>113</v>
      </c>
      <c r="O35" s="12"/>
      <c r="P35" s="151">
        <v>2</v>
      </c>
      <c r="Q35" s="14" t="s">
        <v>3</v>
      </c>
    </row>
    <row r="36" spans="1:19">
      <c r="A36" s="18"/>
      <c r="B36" s="167" t="s">
        <v>85</v>
      </c>
      <c r="C36" s="12"/>
      <c r="D36" s="151">
        <v>1</v>
      </c>
      <c r="E36" s="14" t="s">
        <v>3</v>
      </c>
      <c r="F36" s="18"/>
      <c r="H36" s="167" t="s">
        <v>85</v>
      </c>
      <c r="I36" s="12"/>
      <c r="J36" s="151">
        <v>1</v>
      </c>
      <c r="K36" s="14" t="s">
        <v>3</v>
      </c>
      <c r="L36" s="18"/>
      <c r="N36" s="167" t="s">
        <v>85</v>
      </c>
      <c r="O36" s="12"/>
      <c r="P36" s="151">
        <v>1</v>
      </c>
      <c r="Q36" s="14" t="s">
        <v>3</v>
      </c>
    </row>
    <row r="37" spans="1:19" ht="13" thickBot="1">
      <c r="A37" s="18"/>
      <c r="B37" s="168" t="s">
        <v>49</v>
      </c>
      <c r="C37" s="16"/>
      <c r="D37" s="163">
        <f>D4-D8-D9-D12-D13+D14-D26-D27-D28-D32-D33-D34-D35-D36+10*LOG(D31/D47)</f>
        <v>4.8395313839635596</v>
      </c>
      <c r="E37" s="17" t="s">
        <v>3</v>
      </c>
      <c r="F37" s="57">
        <f>D42-D48</f>
        <v>3.1013896364086833</v>
      </c>
      <c r="H37" s="168" t="s">
        <v>49</v>
      </c>
      <c r="I37" s="16"/>
      <c r="J37" s="163">
        <f>J4-J8-J9-J12-J13+J14-J26-J27-J28-J32-J33-J34-J35-J36</f>
        <v>2.6231984279682425</v>
      </c>
      <c r="K37" s="17" t="s">
        <v>3</v>
      </c>
      <c r="L37" s="57">
        <f>J42-J48</f>
        <v>2.6459692709702125</v>
      </c>
      <c r="N37" s="168" t="s">
        <v>49</v>
      </c>
      <c r="O37" s="16"/>
      <c r="P37" s="163">
        <f>P4-P8-P9-P12-P13+P14-P26-P27-P28-P32-P33-P34-P35-P36</f>
        <v>2.9426728308182533</v>
      </c>
      <c r="Q37" s="17" t="s">
        <v>3</v>
      </c>
      <c r="R37" s="57">
        <f>P42-P48</f>
        <v>2.9654436738202037</v>
      </c>
    </row>
    <row r="38" spans="1:19">
      <c r="D38" s="48"/>
      <c r="H38" s="234"/>
      <c r="J38" s="48"/>
      <c r="L38" s="47"/>
      <c r="P38" s="48"/>
    </row>
    <row r="39" spans="1:19">
      <c r="F39" s="56"/>
      <c r="H39" s="234"/>
      <c r="L39" s="47"/>
    </row>
    <row r="40" spans="1:19" ht="13" thickBot="1">
      <c r="H40" s="234"/>
      <c r="L40" s="100"/>
    </row>
    <row r="41" spans="1:19">
      <c r="B41" s="2" t="s">
        <v>139</v>
      </c>
      <c r="C41" s="3"/>
      <c r="D41" s="222">
        <f>10*LOG(1000*10^(D4/10))-D8-D9-D13</f>
        <v>-77.543117629568158</v>
      </c>
      <c r="E41" s="4" t="s">
        <v>50</v>
      </c>
      <c r="F41" s="182"/>
      <c r="G41" s="182"/>
      <c r="H41" s="2" t="s">
        <v>139</v>
      </c>
      <c r="I41" s="3"/>
      <c r="J41" s="222">
        <f>10*LOG(1000*10^(J4/10))-J8-J9-J13</f>
        <v>-76.614099549444987</v>
      </c>
      <c r="K41" s="4" t="s">
        <v>50</v>
      </c>
      <c r="L41" s="182"/>
      <c r="M41" s="182"/>
      <c r="N41" s="2" t="s">
        <v>139</v>
      </c>
      <c r="O41" s="3"/>
      <c r="P41" s="222">
        <f>10*LOG(1000*10^(P4/10))-P8-P9-P13</f>
        <v>-69.135223557837264</v>
      </c>
      <c r="Q41" s="4" t="s">
        <v>50</v>
      </c>
      <c r="R41" s="182"/>
    </row>
    <row r="42" spans="1:19">
      <c r="B42" s="223" t="s">
        <v>169</v>
      </c>
      <c r="C42" s="1"/>
      <c r="D42" s="153">
        <f>D41+C17-D26-D28-C24-C20</f>
        <v>-89.543117629568158</v>
      </c>
      <c r="E42" s="6" t="s">
        <v>126</v>
      </c>
      <c r="F42" s="182"/>
      <c r="G42" s="182"/>
      <c r="H42" s="223" t="s">
        <v>169</v>
      </c>
      <c r="I42" s="1"/>
      <c r="J42" s="153">
        <f>J41+I17-J26-J28-I24-I20</f>
        <v>-88.614099549444987</v>
      </c>
      <c r="K42" s="6" t="s">
        <v>126</v>
      </c>
      <c r="L42" s="182"/>
      <c r="M42" s="182"/>
      <c r="N42" s="223" t="s">
        <v>169</v>
      </c>
      <c r="O42" s="1"/>
      <c r="P42" s="153">
        <f>P41+O17-P26-P28-O24-O20</f>
        <v>-81.135223557837264</v>
      </c>
      <c r="Q42" s="6" t="s">
        <v>126</v>
      </c>
      <c r="R42" s="182"/>
    </row>
    <row r="43" spans="1:19">
      <c r="B43" s="5" t="s">
        <v>135</v>
      </c>
      <c r="C43" s="1"/>
      <c r="D43" s="150">
        <f>-174+10*LOG(C25/290)</f>
        <v>-171.00535852132327</v>
      </c>
      <c r="E43" s="6" t="s">
        <v>107</v>
      </c>
      <c r="F43" s="182"/>
      <c r="G43" s="182"/>
      <c r="H43" s="5" t="s">
        <v>135</v>
      </c>
      <c r="I43" s="1"/>
      <c r="J43" s="150">
        <f>-174+10*LOG(I25/290)</f>
        <v>-170.95343595297504</v>
      </c>
      <c r="K43" s="6" t="s">
        <v>107</v>
      </c>
      <c r="L43" s="182"/>
      <c r="M43" s="182"/>
      <c r="N43" s="5" t="s">
        <v>135</v>
      </c>
      <c r="O43" s="1"/>
      <c r="P43" s="150">
        <f>-174+10*LOG(O25/290)</f>
        <v>-170.95343595297504</v>
      </c>
      <c r="Q43" s="6" t="s">
        <v>107</v>
      </c>
      <c r="R43" s="182"/>
    </row>
    <row r="44" spans="1:19">
      <c r="B44" s="5" t="s">
        <v>165</v>
      </c>
      <c r="C44" s="1" t="s">
        <v>167</v>
      </c>
      <c r="D44" s="150">
        <f>'Req EbNo values'!C16</f>
        <v>2.25</v>
      </c>
      <c r="E44" s="6" t="s">
        <v>60</v>
      </c>
      <c r="F44" s="182"/>
      <c r="G44" s="182"/>
      <c r="H44" s="5" t="s">
        <v>165</v>
      </c>
      <c r="I44" s="1" t="s">
        <v>167</v>
      </c>
      <c r="J44" s="150">
        <f>'Req EbNo values'!$C$5</f>
        <v>5</v>
      </c>
      <c r="K44" s="6" t="s">
        <v>60</v>
      </c>
      <c r="L44" s="182"/>
      <c r="M44" s="182"/>
      <c r="N44" s="5" t="s">
        <v>165</v>
      </c>
      <c r="O44" s="1" t="s">
        <v>167</v>
      </c>
      <c r="P44" s="150">
        <f>'Req EbNo values'!C8</f>
        <v>14</v>
      </c>
      <c r="Q44" s="6" t="s">
        <v>60</v>
      </c>
      <c r="R44" s="182"/>
    </row>
    <row r="45" spans="1:19" hidden="1">
      <c r="B45" s="223" t="s">
        <v>111</v>
      </c>
      <c r="C45" s="1"/>
      <c r="D45" s="153" t="e">
        <f>10*LOG(F19*F20*F29*(G25-(1+(B23/B22)*(1/F24-1))-(1+(B22/B22)*(1/F20-1))-(F18-1)/F20-((1+(B22/B22)*(1/F29-1))-1)/(F20*F19))+1)</f>
        <v>#VALUE!</v>
      </c>
      <c r="E45" s="6" t="s">
        <v>3</v>
      </c>
      <c r="F45" s="182"/>
      <c r="G45" s="182"/>
      <c r="H45" s="223" t="s">
        <v>111</v>
      </c>
      <c r="I45" s="1"/>
      <c r="J45" s="153" t="e">
        <f>10*LOG(L19*L20*L29*(M25-(1+(H23/H22)*(1/L24-1))-(1+(H22/H22)*(1/L20-1))-(L18-1)/L20-((1+(H22/H22)*(1/L29-1))-1)/(L20*L19))+1)</f>
        <v>#VALUE!</v>
      </c>
      <c r="K45" s="6" t="s">
        <v>3</v>
      </c>
      <c r="L45" s="182"/>
      <c r="M45" s="182"/>
      <c r="N45" s="223" t="s">
        <v>111</v>
      </c>
      <c r="O45" s="1"/>
      <c r="P45" s="153" t="e">
        <f>10*LOG(R19*R20*R29*(S25-(1+(N23/N22)*(1/R24-1))-(1+(N22/N22)*(1/R20-1))-(R18-1)/R20-((1+(N22/N22)*(1/R29-1))-1)/(R20*R19))+1)</f>
        <v>#VALUE!</v>
      </c>
      <c r="Q45" s="6" t="s">
        <v>3</v>
      </c>
      <c r="R45" s="182"/>
    </row>
    <row r="46" spans="1:19">
      <c r="B46" s="5" t="s">
        <v>150</v>
      </c>
      <c r="C46" s="220"/>
      <c r="D46" s="151">
        <f>D30</f>
        <v>5</v>
      </c>
      <c r="E46" s="6" t="s">
        <v>3</v>
      </c>
      <c r="F46" s="182"/>
      <c r="G46" s="182"/>
      <c r="H46" s="5" t="s">
        <v>150</v>
      </c>
      <c r="I46" s="220"/>
      <c r="J46" s="151">
        <f>J30</f>
        <v>10</v>
      </c>
      <c r="K46" s="6" t="s">
        <v>3</v>
      </c>
      <c r="L46" s="182"/>
      <c r="M46" s="182"/>
      <c r="N46" s="5" t="s">
        <v>150</v>
      </c>
      <c r="O46" s="220"/>
      <c r="P46" s="151">
        <f>P30</f>
        <v>10</v>
      </c>
      <c r="Q46" s="6" t="s">
        <v>3</v>
      </c>
      <c r="R46" s="182"/>
    </row>
    <row r="47" spans="1:19" hidden="1">
      <c r="B47" s="5" t="s">
        <v>168</v>
      </c>
      <c r="C47" s="292"/>
      <c r="D47" s="151">
        <f>'TA -&gt; GS (SC-SOQPSK)'!D47</f>
        <v>13645638.647799961</v>
      </c>
      <c r="E47" s="6" t="s">
        <v>47</v>
      </c>
      <c r="F47" s="182"/>
      <c r="G47" s="182"/>
      <c r="H47" s="5" t="s">
        <v>168</v>
      </c>
      <c r="I47" s="292"/>
      <c r="J47" s="151" t="e">
        <f>'TA -&gt; GS (MC-QPSK)'!D47</f>
        <v>#REF!</v>
      </c>
      <c r="K47" s="6" t="s">
        <v>47</v>
      </c>
      <c r="L47" s="182"/>
      <c r="M47" s="182"/>
      <c r="N47" s="5" t="s">
        <v>168</v>
      </c>
      <c r="O47" s="292"/>
      <c r="P47" s="151" t="e">
        <f>'TA -&gt; GS (MC-QAM)'!D47</f>
        <v>#REF!</v>
      </c>
      <c r="Q47" s="6" t="s">
        <v>47</v>
      </c>
      <c r="R47" s="182"/>
    </row>
    <row r="48" spans="1:19" ht="25" thickBot="1">
      <c r="B48" s="275" t="s">
        <v>141</v>
      </c>
      <c r="C48" s="305" t="s">
        <v>167</v>
      </c>
      <c r="D48" s="277">
        <f>D43+D34+D33+D35+D36+10*LOG(D49)</f>
        <v>-92.644507265976841</v>
      </c>
      <c r="E48" s="123" t="s">
        <v>50</v>
      </c>
      <c r="F48" s="182"/>
      <c r="G48" s="307">
        <f>D43+D34+D33+D35+D36</f>
        <v>-165.75535852132327</v>
      </c>
      <c r="H48" s="275" t="s">
        <v>141</v>
      </c>
      <c r="I48" s="305" t="s">
        <v>167</v>
      </c>
      <c r="J48" s="277">
        <f>J43+J34+J33+J35+J36+10*LOG(J49)</f>
        <v>-91.260068820415199</v>
      </c>
      <c r="K48" s="123" t="s">
        <v>50</v>
      </c>
      <c r="L48" s="182"/>
      <c r="M48" s="307">
        <f>J43+J34+J33+J35+J36</f>
        <v>-164.60343595297505</v>
      </c>
      <c r="N48" s="275" t="s">
        <v>141</v>
      </c>
      <c r="O48" s="305" t="s">
        <v>167</v>
      </c>
      <c r="P48" s="277">
        <f>P43+P34+P33+P35+P36+10*LOG(P49)</f>
        <v>-84.100667231657468</v>
      </c>
      <c r="Q48" s="123" t="s">
        <v>50</v>
      </c>
      <c r="R48" s="182"/>
      <c r="S48" s="307">
        <f>P43+P34+P33+P35+P36</f>
        <v>-160.45343595297504</v>
      </c>
    </row>
    <row r="49" spans="2:19">
      <c r="B49" s="288" t="s">
        <v>258</v>
      </c>
      <c r="C49" s="291"/>
      <c r="D49" s="302">
        <f>D31</f>
        <v>20468457.971699942</v>
      </c>
      <c r="E49" s="87" t="s">
        <v>47</v>
      </c>
      <c r="F49" s="182"/>
      <c r="G49" s="182"/>
      <c r="H49" s="288" t="s">
        <v>258</v>
      </c>
      <c r="I49" s="291"/>
      <c r="J49" s="302">
        <f>J31</f>
        <v>21594179.806492455</v>
      </c>
      <c r="K49" s="87" t="s">
        <v>47</v>
      </c>
      <c r="L49" s="182"/>
      <c r="M49" s="182"/>
      <c r="N49" s="288" t="s">
        <v>258</v>
      </c>
      <c r="O49" s="291"/>
      <c r="P49" s="302">
        <f>P31</f>
        <v>43179426.728933506</v>
      </c>
      <c r="Q49" s="87" t="s">
        <v>47</v>
      </c>
      <c r="R49" s="182"/>
    </row>
    <row r="50" spans="2:19" s="60" customFormat="1" hidden="1">
      <c r="B50" s="285" t="s">
        <v>148</v>
      </c>
      <c r="C50" s="284"/>
      <c r="D50" s="298"/>
      <c r="E50" s="14" t="s">
        <v>3</v>
      </c>
      <c r="F50" s="278"/>
      <c r="G50" s="278"/>
      <c r="H50" s="285" t="s">
        <v>148</v>
      </c>
      <c r="I50" s="284"/>
      <c r="J50" s="298"/>
      <c r="K50" s="14" t="s">
        <v>3</v>
      </c>
      <c r="L50" s="279"/>
      <c r="M50" s="278"/>
      <c r="N50" s="285" t="s">
        <v>148</v>
      </c>
      <c r="O50" s="284"/>
      <c r="P50" s="298"/>
      <c r="Q50" s="14" t="s">
        <v>3</v>
      </c>
      <c r="R50" s="278"/>
    </row>
    <row r="51" spans="2:19" hidden="1">
      <c r="B51" s="285" t="s">
        <v>170</v>
      </c>
      <c r="C51" s="284"/>
      <c r="D51" s="152">
        <f>D52+10*LOG('Req EbNo values'!C12*'Req EbNo values'!D15)</f>
        <v>3.4993873660829991</v>
      </c>
      <c r="E51" s="14" t="s">
        <v>3</v>
      </c>
      <c r="F51" s="182"/>
      <c r="G51" s="182"/>
      <c r="H51" s="285" t="s">
        <v>170</v>
      </c>
      <c r="I51" s="284"/>
      <c r="J51" s="152">
        <f>J52+10*LOG('Req EbNo values'!C2*'Req EbNo values'!D5)</f>
        <v>3.5993873660829996</v>
      </c>
      <c r="K51" s="14" t="s">
        <v>3</v>
      </c>
      <c r="L51" s="182"/>
      <c r="M51" s="182"/>
      <c r="N51" s="285" t="s">
        <v>170</v>
      </c>
      <c r="O51" s="284"/>
      <c r="P51" s="152">
        <f>P52+10*LOG('Req EbNo values'!C2*'Req EbNo values'!D8)</f>
        <v>10.759687322722812</v>
      </c>
      <c r="Q51" s="14" t="s">
        <v>3</v>
      </c>
      <c r="R51" s="182"/>
    </row>
    <row r="52" spans="2:19">
      <c r="B52" s="11" t="s">
        <v>289</v>
      </c>
      <c r="C52" s="1" t="s">
        <v>167</v>
      </c>
      <c r="D52" s="152">
        <f>D34</f>
        <v>2.25</v>
      </c>
      <c r="E52" s="14" t="s">
        <v>3</v>
      </c>
      <c r="F52" s="182"/>
      <c r="G52" s="182"/>
      <c r="H52" s="185" t="s">
        <v>166</v>
      </c>
      <c r="I52" s="1" t="s">
        <v>167</v>
      </c>
      <c r="J52" s="186">
        <f>J34</f>
        <v>2.35</v>
      </c>
      <c r="K52" s="14" t="s">
        <v>3</v>
      </c>
      <c r="L52" s="182"/>
      <c r="M52" s="182"/>
      <c r="N52" s="185" t="s">
        <v>166</v>
      </c>
      <c r="O52" s="1" t="s">
        <v>167</v>
      </c>
      <c r="P52" s="152">
        <f>P34</f>
        <v>6.5</v>
      </c>
      <c r="Q52" s="14" t="s">
        <v>3</v>
      </c>
      <c r="R52" s="182"/>
    </row>
    <row r="53" spans="2:19" ht="25" thickBot="1">
      <c r="B53" s="275" t="s">
        <v>144</v>
      </c>
      <c r="C53" s="304" t="s">
        <v>164</v>
      </c>
      <c r="D53" s="277">
        <f>D46-174+D34+10*LOG(D49)+D33+D35+D36</f>
        <v>-90.639148744653568</v>
      </c>
      <c r="E53" s="123" t="s">
        <v>50</v>
      </c>
      <c r="F53" s="129">
        <f>D53-D48</f>
        <v>2.0053585213232736</v>
      </c>
      <c r="G53" s="129">
        <f>D46-174+D34+D33+D35+D36</f>
        <v>-163.75</v>
      </c>
      <c r="H53" s="275" t="s">
        <v>144</v>
      </c>
      <c r="I53" s="304" t="s">
        <v>164</v>
      </c>
      <c r="J53" s="277">
        <f>J46-174+J34+10*LOG(J49)+J33+J35+J36</f>
        <v>-84.306632867440157</v>
      </c>
      <c r="K53" s="123" t="s">
        <v>50</v>
      </c>
      <c r="L53" s="129">
        <f>J53-J48</f>
        <v>6.9534359529750418</v>
      </c>
      <c r="M53" s="129">
        <f>J46-174+J34+J33+J35+J36</f>
        <v>-157.65</v>
      </c>
      <c r="N53" s="275" t="s">
        <v>144</v>
      </c>
      <c r="O53" s="304" t="s">
        <v>164</v>
      </c>
      <c r="P53" s="277">
        <f>P46-174+P34+10*LOG(P49)+P33+P35+P36</f>
        <v>-77.147231278682426</v>
      </c>
      <c r="Q53" s="123" t="s">
        <v>50</v>
      </c>
      <c r="R53" s="129">
        <f>P53-P48</f>
        <v>6.9534359529750418</v>
      </c>
      <c r="S53" s="129">
        <f>P46-174+P34+P33+P35+P36</f>
        <v>-153.5</v>
      </c>
    </row>
    <row r="54" spans="2:19">
      <c r="B54" s="217"/>
      <c r="C54" s="182"/>
      <c r="D54" s="214"/>
      <c r="E54" s="182"/>
      <c r="F54" s="182"/>
      <c r="G54" s="182"/>
      <c r="H54" s="217"/>
      <c r="I54" s="182"/>
      <c r="J54" s="214"/>
      <c r="K54" s="182"/>
      <c r="L54" s="182"/>
      <c r="M54" s="182"/>
      <c r="N54" s="217"/>
      <c r="O54" s="182"/>
      <c r="P54" s="214"/>
      <c r="Q54" s="182"/>
      <c r="R54" s="182"/>
    </row>
    <row r="55" spans="2:19">
      <c r="B55" s="217"/>
      <c r="C55" s="182"/>
      <c r="D55" s="214"/>
      <c r="E55" s="182"/>
      <c r="F55" s="182"/>
      <c r="G55" s="182"/>
      <c r="H55" s="217"/>
      <c r="I55" s="182"/>
      <c r="J55" s="214"/>
      <c r="K55" s="182"/>
      <c r="L55" s="182"/>
      <c r="M55" s="182"/>
      <c r="N55" s="217"/>
      <c r="O55" s="182"/>
      <c r="P55" s="214"/>
      <c r="Q55" s="182"/>
      <c r="R55" s="182"/>
    </row>
    <row r="56" spans="2:19" ht="13" thickBot="1">
      <c r="B56" s="182"/>
      <c r="C56" s="182"/>
      <c r="E56" s="182"/>
      <c r="F56" s="182"/>
      <c r="G56" s="182"/>
      <c r="H56" s="182"/>
      <c r="I56" s="182"/>
      <c r="J56" s="182"/>
      <c r="K56" s="182"/>
      <c r="L56" s="182"/>
      <c r="M56" s="182"/>
      <c r="N56" s="182"/>
      <c r="O56" s="182"/>
      <c r="P56" s="182"/>
      <c r="Q56" s="182"/>
      <c r="R56" s="182"/>
    </row>
    <row r="57" spans="2:19">
      <c r="B57" s="8" t="s">
        <v>0</v>
      </c>
      <c r="C57" s="9"/>
      <c r="D57" s="171">
        <f>C59-C60+10*LOG(C58)</f>
        <v>42.662725051033064</v>
      </c>
      <c r="E57" s="10" t="s">
        <v>1</v>
      </c>
      <c r="F57" s="18"/>
      <c r="H57" s="182"/>
      <c r="I57" s="182"/>
      <c r="J57" s="216"/>
      <c r="K57" s="182"/>
      <c r="L57" s="182"/>
      <c r="M57" s="182"/>
      <c r="N57" s="182"/>
      <c r="O57" s="182"/>
      <c r="P57" s="216"/>
      <c r="Q57" s="182"/>
      <c r="R57" s="182"/>
    </row>
    <row r="58" spans="2:19">
      <c r="B58" s="11" t="s">
        <v>130</v>
      </c>
      <c r="C58" s="49">
        <v>18</v>
      </c>
      <c r="D58" s="164"/>
      <c r="E58" s="14" t="s">
        <v>10</v>
      </c>
      <c r="F58" s="18"/>
      <c r="H58" s="182"/>
      <c r="I58" s="182"/>
      <c r="J58" s="216"/>
      <c r="K58" s="182"/>
      <c r="L58" s="182"/>
      <c r="M58" s="182"/>
      <c r="N58" s="182"/>
      <c r="O58" s="182"/>
      <c r="P58" s="216"/>
      <c r="Q58" s="182"/>
      <c r="R58" s="182"/>
    </row>
    <row r="59" spans="2:19">
      <c r="B59" s="11" t="s">
        <v>134</v>
      </c>
      <c r="C59" s="20">
        <v>31.11</v>
      </c>
      <c r="D59" s="164"/>
      <c r="E59" s="14" t="s">
        <v>9</v>
      </c>
      <c r="F59" s="18"/>
      <c r="H59" s="182"/>
      <c r="I59" s="182"/>
      <c r="J59" s="228"/>
      <c r="K59" s="182"/>
      <c r="L59" s="182"/>
      <c r="M59" s="182"/>
      <c r="N59" s="182"/>
      <c r="O59" s="182"/>
      <c r="P59" s="228"/>
      <c r="Q59" s="182"/>
      <c r="R59" s="182"/>
    </row>
    <row r="60" spans="2:19">
      <c r="B60" s="11" t="s">
        <v>132</v>
      </c>
      <c r="C60" s="20">
        <v>1</v>
      </c>
      <c r="D60" s="165"/>
      <c r="E60" s="14" t="s">
        <v>3</v>
      </c>
      <c r="F60" s="18"/>
      <c r="H60" s="182"/>
      <c r="I60" s="182"/>
      <c r="J60" s="216"/>
      <c r="K60" s="182"/>
      <c r="L60" s="182"/>
      <c r="M60" s="182"/>
      <c r="N60" s="182"/>
      <c r="O60" s="182"/>
      <c r="P60" s="216"/>
      <c r="Q60" s="182"/>
      <c r="R60" s="182"/>
    </row>
    <row r="61" spans="2:19">
      <c r="B61" s="11" t="s">
        <v>83</v>
      </c>
      <c r="C61" s="20"/>
      <c r="D61" s="165">
        <v>3</v>
      </c>
      <c r="E61" s="14"/>
      <c r="F61" s="18"/>
      <c r="H61" s="182"/>
      <c r="I61" s="182"/>
      <c r="J61" s="216"/>
      <c r="K61" s="182"/>
      <c r="L61" s="182"/>
      <c r="M61" s="182"/>
      <c r="N61" s="182"/>
      <c r="O61" s="182"/>
      <c r="P61" s="216"/>
      <c r="Q61" s="182"/>
      <c r="R61" s="182"/>
    </row>
    <row r="62" spans="2:19">
      <c r="B62" s="11" t="s">
        <v>2</v>
      </c>
      <c r="C62" s="12"/>
      <c r="D62" s="151">
        <f>20*LOG10(4*PI()*D64*1.852*1000/(300000000/D63))</f>
        <v>146.65985158214087</v>
      </c>
      <c r="E62" s="14" t="s">
        <v>3</v>
      </c>
      <c r="F62" s="18"/>
      <c r="H62" s="182"/>
      <c r="I62" s="182"/>
      <c r="J62" s="216"/>
      <c r="K62" s="182"/>
      <c r="L62" s="182"/>
      <c r="M62" s="182"/>
      <c r="N62" s="182"/>
      <c r="O62" s="182"/>
      <c r="P62" s="216"/>
      <c r="Q62" s="182"/>
      <c r="R62" s="182"/>
    </row>
    <row r="63" spans="2:19">
      <c r="B63" s="11"/>
      <c r="C63" s="12" t="s">
        <v>12</v>
      </c>
      <c r="D63" s="159">
        <f>1850000000</f>
        <v>1850000000</v>
      </c>
      <c r="E63" s="14"/>
      <c r="F63" s="18"/>
      <c r="H63" s="182"/>
      <c r="I63" s="182"/>
      <c r="J63" s="229"/>
      <c r="K63" s="182"/>
      <c r="L63" s="182"/>
      <c r="M63" s="182"/>
      <c r="N63" s="182"/>
      <c r="O63" s="182"/>
      <c r="P63" s="229"/>
      <c r="Q63" s="182"/>
      <c r="R63" s="182"/>
    </row>
    <row r="64" spans="2:19">
      <c r="B64" s="11"/>
      <c r="C64" s="12" t="s">
        <v>13</v>
      </c>
      <c r="D64" s="170">
        <v>150</v>
      </c>
      <c r="E64" s="14" t="s">
        <v>61</v>
      </c>
      <c r="F64" s="18"/>
      <c r="H64" s="182"/>
      <c r="I64" s="182"/>
      <c r="J64" s="230"/>
      <c r="K64" s="182"/>
      <c r="L64" s="182"/>
      <c r="M64" s="182"/>
      <c r="N64" s="182"/>
      <c r="O64" s="182"/>
      <c r="P64" s="230"/>
      <c r="Q64" s="182"/>
      <c r="R64" s="182"/>
    </row>
    <row r="65" spans="2:18">
      <c r="B65" s="11" t="s">
        <v>4</v>
      </c>
      <c r="C65" s="12"/>
      <c r="D65" s="151">
        <f>10*LOG(1.38*10^-23)</f>
        <v>-228.60120913598763</v>
      </c>
      <c r="E65" s="14"/>
      <c r="F65" s="18"/>
      <c r="H65" s="217"/>
      <c r="I65" s="217"/>
      <c r="J65" s="214"/>
      <c r="K65" s="182"/>
      <c r="L65" s="182"/>
      <c r="M65" s="231"/>
      <c r="N65" s="217"/>
      <c r="O65" s="217"/>
      <c r="P65" s="214"/>
      <c r="Q65" s="182"/>
      <c r="R65" s="182"/>
    </row>
    <row r="66" spans="2:18">
      <c r="B66" s="11" t="s">
        <v>5</v>
      </c>
      <c r="C66" s="12"/>
      <c r="D66" s="151">
        <v>1</v>
      </c>
      <c r="E66" s="14" t="s">
        <v>3</v>
      </c>
      <c r="F66" s="18"/>
      <c r="H66" s="182"/>
      <c r="I66" s="182"/>
      <c r="J66" s="182"/>
      <c r="K66" s="182"/>
      <c r="L66" s="182"/>
      <c r="M66" s="182"/>
      <c r="N66" s="182"/>
      <c r="O66" s="182"/>
      <c r="P66" s="182"/>
      <c r="Q66" s="182"/>
      <c r="R66" s="182"/>
    </row>
    <row r="67" spans="2:18">
      <c r="B67" s="11" t="s">
        <v>137</v>
      </c>
      <c r="C67" s="12"/>
      <c r="D67" s="150">
        <f>C70-10*LOG10(C78)-C77-C73</f>
        <v>-35.618621457666279</v>
      </c>
      <c r="E67" s="14" t="s">
        <v>8</v>
      </c>
      <c r="F67" s="18"/>
      <c r="H67" s="182"/>
      <c r="I67" s="182"/>
      <c r="J67" s="182"/>
      <c r="K67" s="182"/>
      <c r="L67" s="182"/>
      <c r="M67" s="182"/>
      <c r="N67" s="182"/>
      <c r="O67" s="182"/>
      <c r="P67" s="182"/>
      <c r="Q67" s="182"/>
      <c r="R67" s="182"/>
    </row>
    <row r="68" spans="2:18">
      <c r="B68" s="11" t="s">
        <v>91</v>
      </c>
      <c r="C68" s="93" t="s">
        <v>84</v>
      </c>
      <c r="D68" s="151" t="s">
        <v>84</v>
      </c>
      <c r="E68" s="14" t="s">
        <v>17</v>
      </c>
      <c r="F68" s="18"/>
    </row>
    <row r="69" spans="2:18">
      <c r="B69" s="11" t="s">
        <v>92</v>
      </c>
      <c r="C69" s="94" t="s">
        <v>93</v>
      </c>
      <c r="D69" s="151"/>
      <c r="E69" s="14" t="s">
        <v>19</v>
      </c>
      <c r="F69" s="18"/>
    </row>
    <row r="70" spans="2:18">
      <c r="B70" s="11" t="s">
        <v>96</v>
      </c>
      <c r="C70" s="35">
        <v>-5</v>
      </c>
      <c r="D70" s="151"/>
      <c r="E70" s="14" t="s">
        <v>9</v>
      </c>
      <c r="F70" s="29">
        <f>10^(C70/10)</f>
        <v>0.31622776601683794</v>
      </c>
      <c r="G70" s="29"/>
    </row>
    <row r="71" spans="2:18">
      <c r="B71" s="11" t="s">
        <v>86</v>
      </c>
      <c r="C71" s="12">
        <v>3</v>
      </c>
      <c r="D71" s="151"/>
      <c r="E71" s="14" t="s">
        <v>3</v>
      </c>
      <c r="F71" s="29">
        <f>10^(C71/10)</f>
        <v>1.9952623149688797</v>
      </c>
      <c r="G71" s="29"/>
    </row>
    <row r="72" spans="2:18">
      <c r="B72" s="11" t="s">
        <v>116</v>
      </c>
      <c r="C72" s="12">
        <v>25</v>
      </c>
      <c r="D72" s="151"/>
      <c r="E72" s="14" t="s">
        <v>3</v>
      </c>
      <c r="F72" s="63">
        <f>10^(C72/10)</f>
        <v>316.22776601683825</v>
      </c>
      <c r="G72" s="29"/>
    </row>
    <row r="73" spans="2:18">
      <c r="B73" s="11" t="s">
        <v>115</v>
      </c>
      <c r="C73" s="12">
        <v>1</v>
      </c>
      <c r="D73" s="151"/>
      <c r="E73" s="14" t="s">
        <v>3</v>
      </c>
      <c r="F73" s="29">
        <f>10^(-C73/10)</f>
        <v>0.79432823472428149</v>
      </c>
      <c r="G73" s="29"/>
    </row>
    <row r="74" spans="2:18">
      <c r="B74" s="11" t="s">
        <v>16</v>
      </c>
      <c r="C74" s="12">
        <v>150</v>
      </c>
      <c r="D74" s="151"/>
      <c r="E74" s="14" t="s">
        <v>11</v>
      </c>
      <c r="F74" s="29"/>
      <c r="G74" s="29"/>
    </row>
    <row r="75" spans="2:18">
      <c r="B75" s="11" t="s">
        <v>90</v>
      </c>
      <c r="C75" s="12">
        <v>300</v>
      </c>
      <c r="D75" s="151"/>
      <c r="E75" s="14" t="s">
        <v>11</v>
      </c>
      <c r="F75" s="29"/>
      <c r="G75" s="29"/>
    </row>
    <row r="76" spans="2:18">
      <c r="B76" s="11" t="s">
        <v>117</v>
      </c>
      <c r="C76" s="35">
        <v>350</v>
      </c>
      <c r="D76" s="151"/>
      <c r="E76" s="14" t="s">
        <v>11</v>
      </c>
      <c r="F76" s="29">
        <f>10*LOG(1+C76/C75)</f>
        <v>3.3579210192319318</v>
      </c>
      <c r="G76" s="29">
        <f>10^(F76/10)</f>
        <v>2.1666666666666674</v>
      </c>
    </row>
    <row r="77" spans="2:18">
      <c r="B77" s="11" t="s">
        <v>118</v>
      </c>
      <c r="C77" s="12">
        <v>2</v>
      </c>
      <c r="D77" s="151"/>
      <c r="E77" s="14" t="s">
        <v>3</v>
      </c>
      <c r="F77" s="29">
        <f>10^(-C77/10)</f>
        <v>0.63095734448019325</v>
      </c>
      <c r="G77" s="29"/>
    </row>
    <row r="78" spans="2:18">
      <c r="B78" s="11" t="s">
        <v>87</v>
      </c>
      <c r="C78" s="35">
        <f>C76*(1/F77-1)*(F77*F73)+(C74/2+C75/2)*(F77*F73)+C75*(1/F73-1)*F73+C75*(F71-1)+C75*(1/F82-1)/F72+C75*(F83-1)/(F72*F82)</f>
        <v>577.9125766411313</v>
      </c>
      <c r="D78" s="151"/>
      <c r="E78" s="14" t="s">
        <v>11</v>
      </c>
      <c r="F78" s="29">
        <f>10*LOG(1+C78/C75)</f>
        <v>4.6633001588723495</v>
      </c>
      <c r="G78" s="29">
        <f>10^(F78/10)</f>
        <v>2.9263752554704379</v>
      </c>
    </row>
    <row r="79" spans="2:18">
      <c r="B79" s="11" t="s">
        <v>143</v>
      </c>
      <c r="C79" s="1"/>
      <c r="D79" s="151">
        <v>1</v>
      </c>
      <c r="E79" s="6" t="s">
        <v>3</v>
      </c>
      <c r="F79" s="29">
        <f>10^(-D79/10)</f>
        <v>0.79432823472428149</v>
      </c>
      <c r="G79" s="29"/>
    </row>
    <row r="80" spans="2:18">
      <c r="B80" s="11" t="s">
        <v>88</v>
      </c>
      <c r="C80" s="1"/>
      <c r="D80" s="151"/>
      <c r="E80" s="6" t="s">
        <v>3</v>
      </c>
      <c r="F80" s="29"/>
      <c r="G80" s="29"/>
    </row>
    <row r="81" spans="2:7">
      <c r="B81" s="11" t="s">
        <v>89</v>
      </c>
      <c r="C81" s="12"/>
      <c r="D81" s="151">
        <v>3</v>
      </c>
      <c r="E81" s="14" t="s">
        <v>3</v>
      </c>
      <c r="F81" s="29">
        <f>10^(-D81/10)</f>
        <v>0.50118723362727224</v>
      </c>
      <c r="G81" s="29"/>
    </row>
    <row r="82" spans="2:7">
      <c r="B82" s="11" t="s">
        <v>112</v>
      </c>
      <c r="C82" s="12"/>
      <c r="D82" s="150">
        <v>0.3</v>
      </c>
      <c r="E82" s="14" t="s">
        <v>3</v>
      </c>
      <c r="F82" s="29">
        <f>10^(-D82/10)</f>
        <v>0.93325430079699101</v>
      </c>
      <c r="G82" s="29"/>
    </row>
    <row r="83" spans="2:7">
      <c r="B83" s="11" t="s">
        <v>110</v>
      </c>
      <c r="C83" s="12"/>
      <c r="D83" s="170">
        <v>5</v>
      </c>
      <c r="E83" s="14" t="s">
        <v>3</v>
      </c>
      <c r="F83" s="29">
        <f>10^(D83/10)</f>
        <v>3.1622776601683795</v>
      </c>
      <c r="G83" s="29"/>
    </row>
    <row r="84" spans="2:7" ht="24">
      <c r="B84" s="179"/>
      <c r="C84" s="175" t="s">
        <v>261</v>
      </c>
      <c r="D84" s="227">
        <f>'TA -&gt; GS (SC-SOQPSK)'!K31</f>
        <v>60702561.778178506</v>
      </c>
      <c r="E84" s="226" t="s">
        <v>47</v>
      </c>
      <c r="F84" s="111"/>
      <c r="G84" s="111"/>
    </row>
    <row r="85" spans="2:7">
      <c r="B85" s="166" t="s">
        <v>258</v>
      </c>
      <c r="C85" s="12"/>
      <c r="D85" s="151">
        <f>10*LOG10(D84)</f>
        <v>77.832070196197407</v>
      </c>
      <c r="E85" s="14" t="s">
        <v>7</v>
      </c>
      <c r="F85" s="18"/>
    </row>
    <row r="86" spans="2:7">
      <c r="B86" s="185" t="s">
        <v>100</v>
      </c>
      <c r="C86" s="12"/>
      <c r="D86" s="151">
        <v>0</v>
      </c>
      <c r="E86" s="14" t="s">
        <v>3</v>
      </c>
      <c r="F86" s="18"/>
    </row>
    <row r="87" spans="2:7">
      <c r="B87" s="166" t="s">
        <v>166</v>
      </c>
      <c r="C87" s="12" t="s">
        <v>97</v>
      </c>
      <c r="D87" s="149">
        <f>D97-10*LOG(D84/D100)</f>
        <v>0.48908740944318763</v>
      </c>
      <c r="E87" s="14" t="s">
        <v>3</v>
      </c>
      <c r="F87" s="18"/>
    </row>
    <row r="88" spans="2:7">
      <c r="B88" s="11" t="s">
        <v>131</v>
      </c>
      <c r="C88" s="12"/>
      <c r="D88" s="151">
        <v>2</v>
      </c>
      <c r="E88" s="14" t="s">
        <v>3</v>
      </c>
      <c r="F88" s="18"/>
    </row>
    <row r="89" spans="2:7">
      <c r="B89" s="167" t="s">
        <v>85</v>
      </c>
      <c r="C89" s="12"/>
      <c r="D89" s="151">
        <v>1</v>
      </c>
      <c r="E89" s="14" t="s">
        <v>3</v>
      </c>
      <c r="F89" s="18"/>
    </row>
    <row r="90" spans="2:7" ht="13" thickBot="1">
      <c r="B90" s="168" t="s">
        <v>49</v>
      </c>
      <c r="C90" s="16"/>
      <c r="D90" s="163">
        <f>D57-D61-D62-D65-D66+D67-D79-D80-D81-D85-D86-D87-D88-D89</f>
        <v>-0.33569645842705231</v>
      </c>
      <c r="E90" s="17" t="s">
        <v>3</v>
      </c>
      <c r="F90" s="57">
        <f>D95-D101</f>
        <v>-0.31292561542511521</v>
      </c>
    </row>
    <row r="91" spans="2:7">
      <c r="D91" s="48"/>
    </row>
    <row r="93" spans="2:7" ht="13" thickBot="1"/>
    <row r="94" spans="2:7">
      <c r="B94" s="2" t="s">
        <v>139</v>
      </c>
      <c r="C94" s="3"/>
      <c r="D94" s="222">
        <f>10*LOG(1000*10^(D57/10))-D61-D62-D66</f>
        <v>-77.997126531107796</v>
      </c>
      <c r="E94" s="4" t="s">
        <v>50</v>
      </c>
      <c r="F94" s="182"/>
      <c r="G94" s="182"/>
    </row>
    <row r="95" spans="2:7">
      <c r="B95" s="223" t="s">
        <v>169</v>
      </c>
      <c r="C95" s="1"/>
      <c r="D95" s="153">
        <f>D94+C70-D79-D81-C77-C73</f>
        <v>-89.997126531107796</v>
      </c>
      <c r="E95" s="6" t="s">
        <v>126</v>
      </c>
      <c r="F95" s="182"/>
      <c r="G95" s="182"/>
    </row>
    <row r="96" spans="2:7">
      <c r="B96" s="5" t="s">
        <v>135</v>
      </c>
      <c r="C96" s="1"/>
      <c r="D96" s="150">
        <f>-174+10*LOG(C78/290)</f>
        <v>-171.00535852132327</v>
      </c>
      <c r="E96" s="6" t="s">
        <v>107</v>
      </c>
      <c r="F96" s="182"/>
      <c r="G96" s="182"/>
    </row>
    <row r="97" spans="2:7">
      <c r="B97" s="5" t="s">
        <v>165</v>
      </c>
      <c r="C97" s="1" t="s">
        <v>167</v>
      </c>
      <c r="D97" s="150">
        <f>'Req EbNo values'!C16</f>
        <v>2.25</v>
      </c>
      <c r="E97" s="6" t="s">
        <v>60</v>
      </c>
      <c r="F97" s="182"/>
      <c r="G97" s="182"/>
    </row>
    <row r="98" spans="2:7" hidden="1">
      <c r="B98" s="223" t="s">
        <v>111</v>
      </c>
      <c r="C98" s="1"/>
      <c r="D98" s="153" t="e">
        <f>10*LOG(F72*F73*F82*(G78-(1+(B76/B75)*(1/F77-1))-(1+(B75/B75)*(1/F73-1))-(F71-1)/F73-((1+(B75/B75)*(1/F82-1))-1)/(F73*F72))+1)</f>
        <v>#VALUE!</v>
      </c>
      <c r="E98" s="6" t="s">
        <v>3</v>
      </c>
      <c r="F98" s="182"/>
      <c r="G98" s="182"/>
    </row>
    <row r="99" spans="2:7">
      <c r="B99" s="5" t="s">
        <v>150</v>
      </c>
      <c r="C99" s="220"/>
      <c r="D99" s="151">
        <f>D83</f>
        <v>5</v>
      </c>
      <c r="E99" s="6" t="s">
        <v>3</v>
      </c>
      <c r="F99" s="182"/>
      <c r="G99" s="182"/>
    </row>
    <row r="100" spans="2:7" hidden="1">
      <c r="B100" s="5" t="s">
        <v>168</v>
      </c>
      <c r="C100" s="292"/>
      <c r="D100" s="151">
        <f>'TA -&gt; GS (SC-SOQPSK)'!K47</f>
        <v>40468374.51878567</v>
      </c>
      <c r="E100" s="6" t="s">
        <v>47</v>
      </c>
      <c r="F100" s="182"/>
      <c r="G100" s="182"/>
    </row>
    <row r="101" spans="2:7" ht="25" thickBot="1">
      <c r="B101" s="275" t="s">
        <v>141</v>
      </c>
      <c r="C101" s="305" t="s">
        <v>167</v>
      </c>
      <c r="D101" s="277">
        <f>D96+D87+D86+D88+D89+10*LOG(D102)</f>
        <v>-89.68420091568268</v>
      </c>
      <c r="E101" s="123" t="s">
        <v>50</v>
      </c>
      <c r="F101" s="182"/>
      <c r="G101" s="307">
        <f>D96+D87+D86+D88+D89</f>
        <v>-167.51627111188009</v>
      </c>
    </row>
    <row r="102" spans="2:7">
      <c r="B102" s="288" t="s">
        <v>258</v>
      </c>
      <c r="C102" s="291"/>
      <c r="D102" s="302">
        <f>D84</f>
        <v>60702561.778178506</v>
      </c>
      <c r="E102" s="87" t="s">
        <v>47</v>
      </c>
      <c r="F102" s="182"/>
      <c r="G102" s="182"/>
    </row>
    <row r="103" spans="2:7" s="60" customFormat="1" hidden="1">
      <c r="B103" s="285" t="s">
        <v>148</v>
      </c>
      <c r="C103" s="284"/>
      <c r="D103" s="298"/>
      <c r="E103" s="14" t="s">
        <v>3</v>
      </c>
      <c r="F103" s="278"/>
      <c r="G103" s="278"/>
    </row>
    <row r="104" spans="2:7" hidden="1">
      <c r="B104" s="285" t="s">
        <v>170</v>
      </c>
      <c r="C104" s="284"/>
      <c r="D104" s="152">
        <f>D105+10*LOG('Req EbNo values'!C12*'Req EbNo values'!D15)</f>
        <v>1.7384747755261869</v>
      </c>
      <c r="E104" s="14" t="s">
        <v>3</v>
      </c>
    </row>
    <row r="105" spans="2:7">
      <c r="B105" s="185" t="s">
        <v>166</v>
      </c>
      <c r="C105" s="1" t="s">
        <v>167</v>
      </c>
      <c r="D105" s="152">
        <f>D87</f>
        <v>0.48908740944318763</v>
      </c>
      <c r="E105" s="14" t="s">
        <v>3</v>
      </c>
    </row>
    <row r="106" spans="2:7" ht="25" thickBot="1">
      <c r="B106" s="275" t="s">
        <v>144</v>
      </c>
      <c r="C106" s="304" t="s">
        <v>164</v>
      </c>
      <c r="D106" s="277">
        <f>D99-174+D87+10*LOG(D102)+D86+D88+D89</f>
        <v>-87.678842394359407</v>
      </c>
      <c r="E106" s="123" t="s">
        <v>50</v>
      </c>
      <c r="F106" s="129">
        <f>D106-D101</f>
        <v>2.0053585213232736</v>
      </c>
      <c r="G106" s="129">
        <f>D99-174+D87+D86+D88+D89</f>
        <v>-165.51091259055681</v>
      </c>
    </row>
  </sheetData>
  <phoneticPr fontId="2" type="noConversion"/>
  <pageMargins left="0.75" right="0.75" top="1" bottom="1" header="0.5" footer="0.5"/>
  <pageSetup orientation="portrait"/>
  <headerFooter alignWithMargins="0"/>
  <legacy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56"/>
  <sheetViews>
    <sheetView zoomScale="150" zoomScaleNormal="150" zoomScalePageLayoutView="150" workbookViewId="0">
      <selection activeCell="C5" sqref="C5"/>
    </sheetView>
  </sheetViews>
  <sheetFormatPr baseColWidth="10" defaultColWidth="8.83203125" defaultRowHeight="12" x14ac:dyDescent="0"/>
  <cols>
    <col min="1" max="1" width="8.83203125" style="60"/>
    <col min="2" max="2" width="34.6640625" style="60" customWidth="1"/>
    <col min="3" max="3" width="11.5" style="58" customWidth="1"/>
    <col min="4" max="4" width="58.5" style="60" customWidth="1"/>
    <col min="5" max="5" width="26.33203125" style="60" customWidth="1"/>
    <col min="6" max="6" width="11.33203125" style="60" customWidth="1"/>
    <col min="7" max="7" width="10" style="60" bestFit="1" customWidth="1"/>
    <col min="8" max="16384" width="8.83203125" style="60"/>
  </cols>
  <sheetData>
    <row r="1" spans="2:10">
      <c r="B1" s="126" t="s">
        <v>57</v>
      </c>
      <c r="C1" s="127">
        <f>'OH -SC SOQPSK (threshold)'!C1</f>
        <v>0.66666666666666663</v>
      </c>
    </row>
    <row r="2" spans="2:10">
      <c r="B2" s="126" t="s">
        <v>55</v>
      </c>
      <c r="C2" s="128">
        <f>'OH -SC SOQPSK (threshold)'!C2</f>
        <v>5.2850000000000001</v>
      </c>
      <c r="D2" s="60" t="s">
        <v>56</v>
      </c>
      <c r="F2" s="58"/>
      <c r="G2" s="432"/>
      <c r="H2" s="432"/>
      <c r="I2" s="58"/>
    </row>
    <row r="3" spans="2:10">
      <c r="B3" s="126"/>
      <c r="C3" s="128"/>
      <c r="F3" s="58"/>
      <c r="G3" s="389"/>
      <c r="H3" s="389"/>
      <c r="I3" s="58"/>
    </row>
    <row r="4" spans="2:10" ht="13" thickBot="1">
      <c r="B4" s="60" t="s">
        <v>27</v>
      </c>
      <c r="F4" s="129"/>
      <c r="G4" s="143"/>
      <c r="H4" s="143"/>
      <c r="I4" s="143"/>
      <c r="J4" s="143"/>
    </row>
    <row r="5" spans="2:10">
      <c r="B5" s="133" t="s">
        <v>262</v>
      </c>
      <c r="C5" s="134">
        <f>(20+16*0.2)*10^6</f>
        <v>23200000</v>
      </c>
      <c r="D5" s="135" t="s">
        <v>185</v>
      </c>
      <c r="F5" s="129"/>
      <c r="G5" s="143"/>
      <c r="H5" s="143"/>
      <c r="I5" s="143"/>
      <c r="J5" s="143"/>
    </row>
    <row r="6" spans="2:10">
      <c r="B6" s="136" t="s">
        <v>172</v>
      </c>
      <c r="C6" s="105">
        <f>C32</f>
        <v>0.57328717241238381</v>
      </c>
      <c r="D6" s="137"/>
      <c r="F6" s="129"/>
      <c r="G6" s="143"/>
      <c r="H6" s="143"/>
      <c r="I6" s="143"/>
      <c r="J6" s="143"/>
    </row>
    <row r="7" spans="2:10">
      <c r="B7" s="138" t="s">
        <v>263</v>
      </c>
      <c r="C7" s="306">
        <f>C5/C6</f>
        <v>40468374.51878567</v>
      </c>
      <c r="D7" s="137" t="s">
        <v>47</v>
      </c>
      <c r="F7" s="129"/>
      <c r="G7" s="143"/>
      <c r="H7" s="143"/>
      <c r="I7" s="143"/>
      <c r="J7" s="143"/>
    </row>
    <row r="8" spans="2:10">
      <c r="B8" s="138" t="s">
        <v>65</v>
      </c>
      <c r="C8" s="107">
        <f>(C2*10^-6)*('Req EbNo values'!G16/C7)</f>
        <v>3.2947538644389873E-8</v>
      </c>
      <c r="D8" s="137" t="s">
        <v>94</v>
      </c>
      <c r="F8" s="129"/>
      <c r="G8" s="143"/>
      <c r="H8" s="143"/>
      <c r="I8" s="143"/>
      <c r="J8" s="143"/>
    </row>
    <row r="9" spans="2:10">
      <c r="B9" s="138" t="s">
        <v>81</v>
      </c>
      <c r="C9" s="107">
        <f>1/C8</f>
        <v>30351280.889089253</v>
      </c>
      <c r="D9" s="137" t="s">
        <v>95</v>
      </c>
      <c r="F9" s="129"/>
      <c r="G9" s="143"/>
      <c r="H9" s="143"/>
      <c r="I9" s="143"/>
      <c r="J9" s="143"/>
    </row>
    <row r="10" spans="2:10">
      <c r="B10" s="138" t="s">
        <v>66</v>
      </c>
      <c r="C10" s="107">
        <f>0.78*C7/C1</f>
        <v>47347998.186979242</v>
      </c>
      <c r="D10" s="137" t="s">
        <v>99</v>
      </c>
      <c r="F10" s="129"/>
      <c r="G10" s="143"/>
      <c r="H10" s="143"/>
      <c r="I10" s="143"/>
      <c r="J10" s="143"/>
    </row>
    <row r="11" spans="2:10">
      <c r="B11" s="138"/>
      <c r="C11" s="101"/>
      <c r="D11" s="137"/>
      <c r="F11" s="129"/>
      <c r="G11" s="143"/>
      <c r="H11" s="143"/>
      <c r="I11" s="143"/>
      <c r="J11" s="143"/>
    </row>
    <row r="12" spans="2:10">
      <c r="B12" s="189" t="s">
        <v>270</v>
      </c>
      <c r="C12" s="106"/>
      <c r="D12" s="137"/>
      <c r="F12" s="129"/>
      <c r="G12" s="143"/>
      <c r="H12" s="143"/>
      <c r="I12" s="143"/>
      <c r="J12" s="143"/>
    </row>
    <row r="13" spans="2:10">
      <c r="B13" s="138" t="s">
        <v>264</v>
      </c>
      <c r="C13" s="107">
        <f>C25/((1-C20)*(1-C15)*(1-C23)*(1-C24)*(1-C28)*(1-C27)*(1-C29)*(1-C30))</f>
        <v>40468374.51878567</v>
      </c>
      <c r="D13" s="139" t="s">
        <v>47</v>
      </c>
      <c r="F13" s="129"/>
      <c r="G13" s="143"/>
      <c r="H13" s="143"/>
      <c r="I13" s="143"/>
      <c r="J13" s="143"/>
    </row>
    <row r="14" spans="2:10" ht="13.5" customHeight="1">
      <c r="B14" s="138" t="s">
        <v>43</v>
      </c>
      <c r="C14" s="130">
        <v>0.77</v>
      </c>
      <c r="D14" s="139" t="s">
        <v>255</v>
      </c>
      <c r="F14" s="129"/>
      <c r="G14" s="143"/>
      <c r="H14" s="143"/>
      <c r="I14" s="143"/>
      <c r="J14" s="143"/>
    </row>
    <row r="15" spans="2:10" ht="15" customHeight="1">
      <c r="B15" s="138" t="s">
        <v>42</v>
      </c>
      <c r="C15" s="130">
        <f>1-0.92*C14</f>
        <v>0.29159999999999997</v>
      </c>
      <c r="D15" s="139" t="s">
        <v>44</v>
      </c>
      <c r="F15" s="129"/>
      <c r="G15" s="143"/>
      <c r="H15" s="143"/>
      <c r="I15" s="143"/>
      <c r="J15" s="143"/>
    </row>
    <row r="16" spans="2:10">
      <c r="B16" s="138" t="s">
        <v>34</v>
      </c>
      <c r="C16" s="106">
        <v>0.1</v>
      </c>
      <c r="D16" s="139" t="s">
        <v>35</v>
      </c>
      <c r="F16" s="129"/>
      <c r="G16" s="143"/>
      <c r="H16" s="143"/>
      <c r="I16" s="143"/>
      <c r="J16" s="143"/>
    </row>
    <row r="17" spans="2:10" ht="15">
      <c r="B17" s="138" t="s">
        <v>45</v>
      </c>
      <c r="C17" s="106">
        <v>16</v>
      </c>
      <c r="D17" s="139" t="s">
        <v>280</v>
      </c>
      <c r="F17" s="129"/>
      <c r="G17" s="143"/>
      <c r="H17" s="143"/>
      <c r="I17" s="143"/>
      <c r="J17" s="143"/>
    </row>
    <row r="18" spans="2:10">
      <c r="B18" s="138" t="s">
        <v>235</v>
      </c>
      <c r="C18" s="106">
        <v>1</v>
      </c>
      <c r="D18" s="139" t="s">
        <v>236</v>
      </c>
      <c r="F18" s="129"/>
      <c r="G18" s="143"/>
      <c r="H18" s="143"/>
      <c r="I18" s="143"/>
      <c r="J18" s="143"/>
    </row>
    <row r="19" spans="2:10" ht="23.25" customHeight="1">
      <c r="B19" s="138" t="s">
        <v>36</v>
      </c>
      <c r="C19" s="107">
        <f>'TA -&gt; GS (SC-SOQPSK)'!K11*1852/300000000</f>
        <v>9.2599999999999996E-4</v>
      </c>
      <c r="D19" s="139" t="s">
        <v>281</v>
      </c>
      <c r="F19" s="129"/>
      <c r="G19" s="143"/>
      <c r="H19" s="143"/>
      <c r="I19" s="143"/>
      <c r="J19" s="143"/>
    </row>
    <row r="20" spans="2:10" ht="24" customHeight="1">
      <c r="B20" s="138" t="s">
        <v>33</v>
      </c>
      <c r="C20" s="130">
        <f>(2*C19+C17*7*10^-6)/((2*C19+C17*7*10^-6)+C16)</f>
        <v>1.926170020791652E-2</v>
      </c>
      <c r="D20" s="139" t="s">
        <v>282</v>
      </c>
      <c r="F20" s="129"/>
      <c r="G20" s="143"/>
      <c r="H20" s="143"/>
      <c r="I20" s="143"/>
      <c r="J20" s="143"/>
    </row>
    <row r="21" spans="2:10">
      <c r="B21" s="138" t="s">
        <v>31</v>
      </c>
      <c r="C21" s="106">
        <v>4096</v>
      </c>
      <c r="D21" s="139" t="s">
        <v>71</v>
      </c>
      <c r="F21" s="129"/>
      <c r="G21" s="143"/>
      <c r="H21" s="143"/>
      <c r="I21" s="143"/>
      <c r="J21" s="143"/>
    </row>
    <row r="22" spans="2:10">
      <c r="B22" s="138" t="s">
        <v>32</v>
      </c>
      <c r="C22" s="187">
        <f>C21/1/C1</f>
        <v>6144</v>
      </c>
      <c r="D22" s="139"/>
      <c r="F22" s="129"/>
      <c r="G22" s="143"/>
      <c r="H22" s="143"/>
      <c r="I22" s="143"/>
      <c r="J22" s="143"/>
    </row>
    <row r="23" spans="2:10">
      <c r="B23" s="138" t="s">
        <v>48</v>
      </c>
      <c r="C23" s="130">
        <f>C17*C21/(C17*C21+C5*C16)</f>
        <v>2.7472232655470302E-2</v>
      </c>
      <c r="D23" s="139"/>
      <c r="F23" s="129"/>
      <c r="G23" s="143"/>
      <c r="H23" s="143"/>
      <c r="I23" s="143"/>
      <c r="J23" s="143"/>
    </row>
    <row r="24" spans="2:10">
      <c r="B24" s="138" t="s">
        <v>28</v>
      </c>
      <c r="C24" s="130">
        <f>(64+128)/(64+128+(C18*C21))</f>
        <v>4.4776119402985072E-2</v>
      </c>
      <c r="D24" s="190" t="s">
        <v>238</v>
      </c>
      <c r="F24" s="129"/>
      <c r="G24" s="143"/>
      <c r="H24" s="143"/>
      <c r="I24" s="143"/>
      <c r="J24" s="143"/>
    </row>
    <row r="25" spans="2:10">
      <c r="B25" s="138" t="s">
        <v>265</v>
      </c>
      <c r="C25" s="107">
        <f>C31</f>
        <v>23200000</v>
      </c>
      <c r="D25" s="139"/>
      <c r="F25" s="129"/>
      <c r="G25" s="143"/>
      <c r="H25" s="143"/>
      <c r="I25" s="143"/>
      <c r="J25" s="143"/>
    </row>
    <row r="26" spans="2:10">
      <c r="B26" s="138" t="s">
        <v>29</v>
      </c>
      <c r="C26" s="106">
        <f>8000</f>
        <v>8000</v>
      </c>
      <c r="D26" s="139" t="s">
        <v>30</v>
      </c>
      <c r="F26" s="129"/>
      <c r="G26" s="143"/>
      <c r="H26" s="143"/>
      <c r="I26" s="143"/>
      <c r="J26" s="143"/>
    </row>
    <row r="27" spans="2:10" ht="16.25" customHeight="1">
      <c r="B27" s="138" t="s">
        <v>101</v>
      </c>
      <c r="C27" s="130">
        <f>2/(2+256)+3*8/(3*8+C26)</f>
        <v>1.0742964903738397E-2</v>
      </c>
      <c r="D27" s="139" t="s">
        <v>102</v>
      </c>
      <c r="F27" s="129"/>
      <c r="G27" s="143"/>
      <c r="H27" s="143"/>
      <c r="I27" s="143"/>
      <c r="J27" s="143"/>
    </row>
    <row r="28" spans="2:10" ht="16.25" customHeight="1">
      <c r="B28" s="138" t="s">
        <v>186</v>
      </c>
      <c r="C28" s="130">
        <f>416/(416+C21)</f>
        <v>9.2198581560283682E-2</v>
      </c>
      <c r="D28" s="139" t="s">
        <v>188</v>
      </c>
      <c r="F28" s="129"/>
      <c r="G28" s="143"/>
      <c r="H28" s="143"/>
      <c r="I28" s="143"/>
      <c r="J28" s="143"/>
    </row>
    <row r="29" spans="2:10" ht="19.5" customHeight="1">
      <c r="B29" s="138" t="s">
        <v>187</v>
      </c>
      <c r="C29" s="382">
        <f>C17*(196608)/(C17*196608+(864000*C16*C5))</f>
        <v>1.5693461961524829E-6</v>
      </c>
      <c r="D29" s="139" t="s">
        <v>189</v>
      </c>
      <c r="F29" s="129"/>
      <c r="G29" s="143"/>
      <c r="H29" s="143"/>
      <c r="I29" s="143"/>
      <c r="J29" s="143"/>
    </row>
    <row r="30" spans="2:10" ht="16.25" customHeight="1">
      <c r="B30" s="138" t="s">
        <v>233</v>
      </c>
      <c r="C30" s="188">
        <f>8*C17*200/(8*C17*200+(C16*C31))</f>
        <v>1.0914051841746248E-2</v>
      </c>
      <c r="D30" s="139" t="s">
        <v>234</v>
      </c>
      <c r="F30" s="129"/>
      <c r="G30" s="143"/>
      <c r="H30" s="143"/>
      <c r="I30" s="143"/>
      <c r="J30" s="143"/>
    </row>
    <row r="31" spans="2:10">
      <c r="B31" s="138" t="s">
        <v>269</v>
      </c>
      <c r="C31" s="106">
        <f>C5</f>
        <v>23200000</v>
      </c>
      <c r="D31" s="139"/>
      <c r="F31" s="114"/>
    </row>
    <row r="32" spans="2:10" ht="13" thickBot="1">
      <c r="B32" s="140" t="s">
        <v>182</v>
      </c>
      <c r="C32" s="141">
        <f>C31/C13</f>
        <v>0.57328717241238381</v>
      </c>
      <c r="D32" s="142"/>
      <c r="F32" s="114"/>
    </row>
    <row r="33" spans="2:11" hidden="1">
      <c r="B33" s="115" t="s">
        <v>38</v>
      </c>
      <c r="C33" s="116">
        <f>130*8/C26</f>
        <v>0.13</v>
      </c>
      <c r="D33" s="117" t="s">
        <v>39</v>
      </c>
      <c r="F33" s="114"/>
    </row>
    <row r="34" spans="2:11" hidden="1">
      <c r="B34" s="118" t="s">
        <v>37</v>
      </c>
      <c r="C34" s="113">
        <v>0.5</v>
      </c>
      <c r="D34" s="119"/>
      <c r="F34" s="114"/>
    </row>
    <row r="35" spans="2:11" hidden="1">
      <c r="B35" s="118" t="s">
        <v>40</v>
      </c>
      <c r="C35" s="110">
        <f>C31*(1-C33)*C34/4.4</f>
        <v>2293636.3636363633</v>
      </c>
      <c r="D35" s="119" t="s">
        <v>47</v>
      </c>
      <c r="F35" s="114"/>
      <c r="I35" s="108"/>
    </row>
    <row r="36" spans="2:11" hidden="1">
      <c r="B36" s="118" t="s">
        <v>41</v>
      </c>
      <c r="C36" s="110">
        <f>C31*(1-C33)/4.4</f>
        <v>4587272.7272727266</v>
      </c>
      <c r="D36" s="119" t="s">
        <v>47</v>
      </c>
      <c r="F36" s="114"/>
    </row>
    <row r="37" spans="2:11" ht="13" hidden="1" thickBot="1">
      <c r="B37" s="120" t="s">
        <v>46</v>
      </c>
      <c r="C37" s="121">
        <f>4.4*C36/C13</f>
        <v>0.49875983999877394</v>
      </c>
      <c r="D37" s="122"/>
      <c r="E37" s="109" t="s">
        <v>75</v>
      </c>
      <c r="F37" s="114"/>
    </row>
    <row r="38" spans="2:11" ht="13" thickBot="1">
      <c r="E38" s="212" t="s">
        <v>142</v>
      </c>
      <c r="F38" s="114"/>
    </row>
    <row r="39" spans="2:11">
      <c r="B39" s="132"/>
      <c r="C39" s="59"/>
      <c r="D39" s="132"/>
      <c r="E39" s="199" t="s">
        <v>104</v>
      </c>
      <c r="F39" s="200">
        <v>0.64</v>
      </c>
      <c r="G39" s="201"/>
      <c r="H39" s="445"/>
      <c r="I39" s="446"/>
      <c r="J39" s="446"/>
      <c r="K39" s="447"/>
    </row>
    <row r="40" spans="2:11">
      <c r="B40" s="380"/>
      <c r="C40" s="145"/>
      <c r="D40" s="380"/>
      <c r="E40" s="202" t="s">
        <v>103</v>
      </c>
      <c r="F40" s="203">
        <v>-20</v>
      </c>
      <c r="G40" s="204" t="s">
        <v>3</v>
      </c>
      <c r="H40" s="433" t="s">
        <v>105</v>
      </c>
      <c r="I40" s="434"/>
      <c r="J40" s="434"/>
      <c r="K40" s="435"/>
    </row>
    <row r="41" spans="2:11" ht="13" thickBot="1">
      <c r="B41" s="380"/>
      <c r="C41" s="195"/>
      <c r="D41" s="380"/>
      <c r="E41" s="205" t="s">
        <v>52</v>
      </c>
      <c r="F41" s="206">
        <f>C13/C1</f>
        <v>60702561.778178506</v>
      </c>
      <c r="G41" s="207" t="s">
        <v>47</v>
      </c>
      <c r="H41" s="442" t="s">
        <v>271</v>
      </c>
      <c r="I41" s="443"/>
      <c r="J41" s="443"/>
      <c r="K41" s="444"/>
    </row>
    <row r="42" spans="2:11">
      <c r="B42" s="380"/>
      <c r="C42" s="195"/>
      <c r="D42" s="380"/>
      <c r="E42" s="192" t="s">
        <v>53</v>
      </c>
      <c r="F42" s="208">
        <f>F41/'Req EbNo values'!D15</f>
        <v>30351280.889089253</v>
      </c>
      <c r="G42" s="193" t="s">
        <v>58</v>
      </c>
      <c r="H42" s="436" t="s">
        <v>272</v>
      </c>
      <c r="I42" s="437"/>
      <c r="J42" s="437"/>
      <c r="K42" s="438"/>
    </row>
    <row r="43" spans="2:11" ht="13" thickBot="1">
      <c r="B43" s="132"/>
      <c r="C43" s="145"/>
      <c r="D43" s="132"/>
      <c r="E43" s="209" t="s">
        <v>59</v>
      </c>
      <c r="F43" s="210">
        <f>F42*(2*F39*ASIN(1-2*10^(F40/10))/PI()+1)</f>
        <v>47298715.054893672</v>
      </c>
      <c r="G43" s="211" t="s">
        <v>14</v>
      </c>
      <c r="H43" s="439" t="s">
        <v>106</v>
      </c>
      <c r="I43" s="440"/>
      <c r="J43" s="440"/>
      <c r="K43" s="441"/>
    </row>
    <row r="44" spans="2:11">
      <c r="B44" s="132"/>
      <c r="C44" s="194"/>
      <c r="D44" s="132"/>
      <c r="E44" s="132"/>
      <c r="F44" s="198"/>
      <c r="G44" s="132"/>
      <c r="H44" s="448"/>
      <c r="I44" s="448"/>
      <c r="J44" s="448"/>
      <c r="K44" s="448"/>
    </row>
    <row r="45" spans="2:11">
      <c r="B45" s="132"/>
      <c r="C45" s="195"/>
      <c r="D45" s="132"/>
      <c r="E45" s="132"/>
      <c r="F45" s="144"/>
      <c r="G45" s="132"/>
      <c r="H45" s="448"/>
      <c r="I45" s="448"/>
      <c r="J45" s="448"/>
      <c r="K45" s="448"/>
    </row>
    <row r="46" spans="2:11">
      <c r="B46" s="132"/>
      <c r="C46" s="124"/>
      <c r="D46" s="132"/>
      <c r="E46" s="132"/>
      <c r="F46" s="125"/>
      <c r="G46" s="196"/>
      <c r="H46" s="448"/>
      <c r="I46" s="448"/>
      <c r="J46" s="448"/>
      <c r="K46" s="448"/>
    </row>
    <row r="47" spans="2:11">
      <c r="B47" s="132"/>
      <c r="C47" s="59"/>
      <c r="D47" s="132"/>
      <c r="E47" s="132"/>
      <c r="F47" s="197"/>
      <c r="G47" s="132"/>
      <c r="H47" s="448"/>
      <c r="I47" s="448"/>
      <c r="J47" s="448"/>
      <c r="K47" s="448"/>
    </row>
    <row r="48" spans="2:11">
      <c r="B48" s="132"/>
      <c r="C48" s="59"/>
      <c r="D48" s="132"/>
      <c r="E48" s="132"/>
      <c r="F48" s="198"/>
      <c r="G48" s="196"/>
      <c r="H48" s="448"/>
      <c r="I48" s="448"/>
      <c r="J48" s="448"/>
      <c r="K48" s="448"/>
    </row>
    <row r="49" spans="2:11">
      <c r="B49" s="132"/>
      <c r="C49" s="145"/>
      <c r="D49" s="132"/>
      <c r="E49" s="132"/>
      <c r="F49" s="144"/>
      <c r="G49" s="125"/>
      <c r="H49" s="448"/>
      <c r="I49" s="448"/>
      <c r="J49" s="448"/>
      <c r="K49" s="448"/>
    </row>
    <row r="50" spans="2:11">
      <c r="B50" s="132"/>
      <c r="C50" s="194"/>
      <c r="D50" s="132"/>
      <c r="E50" s="132"/>
      <c r="F50" s="125"/>
      <c r="G50" s="125"/>
      <c r="H50" s="132"/>
      <c r="I50" s="132"/>
      <c r="J50" s="132"/>
      <c r="K50" s="132"/>
    </row>
    <row r="51" spans="2:11">
      <c r="B51" s="132"/>
      <c r="C51" s="124"/>
      <c r="D51" s="132"/>
    </row>
    <row r="52" spans="2:11">
      <c r="B52" s="132"/>
      <c r="C52" s="145"/>
      <c r="D52" s="132"/>
    </row>
    <row r="53" spans="2:11">
      <c r="B53" s="132"/>
      <c r="C53" s="194"/>
      <c r="D53" s="132"/>
    </row>
    <row r="54" spans="2:11">
      <c r="B54" s="132"/>
      <c r="C54" s="124"/>
      <c r="D54" s="132"/>
    </row>
    <row r="55" spans="2:11">
      <c r="B55" s="132"/>
      <c r="C55" s="59"/>
      <c r="D55" s="132"/>
    </row>
    <row r="56" spans="2:11">
      <c r="B56" s="132"/>
      <c r="C56" s="59"/>
      <c r="D56" s="132"/>
    </row>
  </sheetData>
  <mergeCells count="12">
    <mergeCell ref="H39:K39"/>
    <mergeCell ref="G2:H2"/>
    <mergeCell ref="H48:K48"/>
    <mergeCell ref="H45:K45"/>
    <mergeCell ref="H49:K49"/>
    <mergeCell ref="H46:K46"/>
    <mergeCell ref="H47:K47"/>
    <mergeCell ref="H40:K40"/>
    <mergeCell ref="H42:K42"/>
    <mergeCell ref="H43:K43"/>
    <mergeCell ref="H44:K44"/>
    <mergeCell ref="H41:K41"/>
  </mergeCells>
  <phoneticPr fontId="2" type="noConversion"/>
  <pageMargins left="0.75" right="0.75" top="1" bottom="1" header="0.5" footer="0.5"/>
  <pageSetup orientation="portrait"/>
  <headerFooter alignWithMargins="0"/>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27"/>
  <sheetViews>
    <sheetView zoomScale="75" workbookViewId="0">
      <selection activeCell="T17" sqref="T16:T17"/>
    </sheetView>
  </sheetViews>
  <sheetFormatPr baseColWidth="10" defaultColWidth="8.83203125" defaultRowHeight="12" x14ac:dyDescent="0"/>
  <cols>
    <col min="1" max="1" width="7.33203125" customWidth="1"/>
    <col min="2" max="2" width="16.6640625" customWidth="1"/>
    <col min="3" max="3" width="10.33203125" customWidth="1"/>
    <col min="4" max="4" width="11.5" customWidth="1"/>
    <col min="5" max="5" width="15.5" customWidth="1"/>
    <col min="6" max="6" width="14.1640625" customWidth="1"/>
    <col min="7" max="7" width="31.83203125" customWidth="1"/>
    <col min="19" max="19" width="12.33203125" bestFit="1" customWidth="1"/>
  </cols>
  <sheetData>
    <row r="1" spans="2:8">
      <c r="B1" s="66" t="s">
        <v>55</v>
      </c>
      <c r="C1" s="273">
        <f>'OH -MC 16QAM'!C2</f>
        <v>4.4444444444444446</v>
      </c>
      <c r="D1" t="s">
        <v>56</v>
      </c>
    </row>
    <row r="2" spans="2:8">
      <c r="B2" s="66" t="s">
        <v>54</v>
      </c>
      <c r="C2" s="274">
        <v>0.66666666666666663</v>
      </c>
      <c r="F2" s="47"/>
    </row>
    <row r="3" spans="2:8" ht="13" thickBot="1">
      <c r="B3" s="53" t="s">
        <v>72</v>
      </c>
      <c r="C3" s="52"/>
    </row>
    <row r="4" spans="2:8">
      <c r="B4" s="76" t="s">
        <v>21</v>
      </c>
      <c r="C4" s="24" t="s">
        <v>69</v>
      </c>
      <c r="D4" s="24" t="s">
        <v>67</v>
      </c>
      <c r="E4" s="24" t="s">
        <v>20</v>
      </c>
      <c r="F4" s="24" t="s">
        <v>70</v>
      </c>
      <c r="G4" s="26" t="s">
        <v>25</v>
      </c>
    </row>
    <row r="5" spans="2:8">
      <c r="B5" s="77" t="s">
        <v>77</v>
      </c>
      <c r="C5" s="85">
        <v>5</v>
      </c>
      <c r="D5" s="70">
        <v>2</v>
      </c>
      <c r="E5" s="37">
        <f>10*LOG10(D5)</f>
        <v>3.0102999566398121</v>
      </c>
      <c r="F5" s="37">
        <f>C5+E5</f>
        <v>8.0102999566398125</v>
      </c>
      <c r="G5" s="27">
        <f>48/(C1*10^-6)*D5</f>
        <v>21600000</v>
      </c>
    </row>
    <row r="6" spans="2:8">
      <c r="B6" s="78" t="s">
        <v>22</v>
      </c>
      <c r="C6" s="21">
        <v>2.35</v>
      </c>
      <c r="D6" s="37">
        <f>2*C2</f>
        <v>1.3333333333333333</v>
      </c>
      <c r="E6" s="37">
        <f>10*LOG10(D6)</f>
        <v>1.2493873660829993</v>
      </c>
      <c r="F6" s="37">
        <f>C6+E6</f>
        <v>3.5993873660829996</v>
      </c>
      <c r="G6" s="27">
        <f>48/(C1*10^-6)*D6</f>
        <v>14400000</v>
      </c>
    </row>
    <row r="7" spans="2:8" hidden="1">
      <c r="B7" s="78" t="s">
        <v>23</v>
      </c>
      <c r="C7" s="21">
        <f>5.5</f>
        <v>5.5</v>
      </c>
      <c r="D7" s="37">
        <f>3*C2</f>
        <v>2</v>
      </c>
      <c r="E7" s="37">
        <f>10*LOG10(D7)</f>
        <v>3.0102999566398121</v>
      </c>
      <c r="F7" s="37">
        <f>C7+E7</f>
        <v>8.5102999566398125</v>
      </c>
      <c r="G7" s="27">
        <f>48/(C1*10^-6)*D7</f>
        <v>21600000</v>
      </c>
    </row>
    <row r="8" spans="2:8">
      <c r="B8" s="79" t="s">
        <v>78</v>
      </c>
      <c r="C8" s="71">
        <v>14</v>
      </c>
      <c r="D8" s="72">
        <v>4</v>
      </c>
      <c r="E8" s="37">
        <f>10*LOG10(D8)</f>
        <v>6.0205999132796242</v>
      </c>
      <c r="F8" s="37">
        <f>C8+E8</f>
        <v>20.020599913279625</v>
      </c>
      <c r="G8" s="27">
        <f>48/(C1*10^-6)*D8</f>
        <v>43200000</v>
      </c>
    </row>
    <row r="9" spans="2:8" ht="13" thickBot="1">
      <c r="B9" s="80" t="s">
        <v>24</v>
      </c>
      <c r="C9" s="25">
        <f>6.5</f>
        <v>6.5</v>
      </c>
      <c r="D9" s="38">
        <f>4*C2</f>
        <v>2.6666666666666665</v>
      </c>
      <c r="E9" s="83">
        <f>10*LOG10(D9)</f>
        <v>4.2596873227228107</v>
      </c>
      <c r="F9" s="83">
        <f>C9+E9</f>
        <v>10.759687322722812</v>
      </c>
      <c r="G9" s="84">
        <f>48/(C1*10^-6)*D9</f>
        <v>28800000</v>
      </c>
      <c r="H9" s="7"/>
    </row>
    <row r="10" spans="2:8">
      <c r="B10" s="96"/>
      <c r="C10" s="42"/>
      <c r="D10" s="97"/>
      <c r="E10" s="97"/>
      <c r="F10" s="97"/>
      <c r="G10" s="67"/>
      <c r="H10" s="7"/>
    </row>
    <row r="11" spans="2:8">
      <c r="B11" s="66" t="s">
        <v>55</v>
      </c>
      <c r="C11" s="42">
        <f>'OH -SC SOQPSK (threshold)'!C2</f>
        <v>5.2850000000000001</v>
      </c>
      <c r="D11" s="98" t="s">
        <v>56</v>
      </c>
      <c r="E11" s="97"/>
      <c r="F11" s="97"/>
      <c r="G11" s="67"/>
      <c r="H11" s="7"/>
    </row>
    <row r="12" spans="2:8">
      <c r="B12" s="66" t="s">
        <v>54</v>
      </c>
      <c r="C12" s="99">
        <f>'OH -SC SOQPSK (threshold)'!C1</f>
        <v>0.66666666666666663</v>
      </c>
      <c r="D12" s="97"/>
      <c r="E12" s="97"/>
      <c r="F12" s="97"/>
      <c r="G12" s="67"/>
      <c r="H12" s="7"/>
    </row>
    <row r="13" spans="2:8" ht="13" thickBot="1">
      <c r="B13" s="73" t="s">
        <v>73</v>
      </c>
      <c r="D13" s="29"/>
    </row>
    <row r="14" spans="2:8">
      <c r="B14" s="81" t="s">
        <v>21</v>
      </c>
      <c r="C14" s="24" t="s">
        <v>69</v>
      </c>
      <c r="D14" s="24" t="s">
        <v>67</v>
      </c>
      <c r="E14" s="24" t="s">
        <v>20</v>
      </c>
      <c r="F14" s="24" t="s">
        <v>70</v>
      </c>
      <c r="G14" s="26" t="s">
        <v>74</v>
      </c>
    </row>
    <row r="15" spans="2:8">
      <c r="B15" s="75" t="s">
        <v>68</v>
      </c>
      <c r="C15" s="62">
        <v>14</v>
      </c>
      <c r="D15" s="37">
        <f>2</f>
        <v>2</v>
      </c>
      <c r="E15" s="37">
        <f>10*LOG(D15)</f>
        <v>3.0102999566398121</v>
      </c>
      <c r="F15" s="37">
        <f>C15+E15</f>
        <v>17.010299956639813</v>
      </c>
      <c r="G15" s="27">
        <f>1/(C11*10^-6)*D15</f>
        <v>378429.51750236517</v>
      </c>
      <c r="H15" s="55"/>
    </row>
    <row r="16" spans="2:8" ht="13" thickBot="1">
      <c r="B16" s="82" t="s">
        <v>64</v>
      </c>
      <c r="C16" s="68">
        <v>2.25</v>
      </c>
      <c r="D16" s="69">
        <f>2*C12</f>
        <v>1.3333333333333333</v>
      </c>
      <c r="E16" s="38">
        <f>10*LOG(D16)</f>
        <v>1.2493873660829993</v>
      </c>
      <c r="F16" s="69">
        <f>C16+E16</f>
        <v>3.4993873660829991</v>
      </c>
      <c r="G16" s="28">
        <f>1/(C11*10^-6)*D16</f>
        <v>252286.34500157676</v>
      </c>
      <c r="H16" s="55"/>
    </row>
    <row r="17" spans="2:8">
      <c r="C17" s="55"/>
      <c r="D17" s="61"/>
      <c r="E17" s="42"/>
      <c r="F17" s="42"/>
      <c r="G17" s="55"/>
      <c r="H17" s="55"/>
    </row>
    <row r="18" spans="2:8">
      <c r="B18" s="191" t="s">
        <v>151</v>
      </c>
      <c r="C18" s="293">
        <f>10^-4</f>
        <v>1E-4</v>
      </c>
      <c r="D18" s="294" t="s">
        <v>155</v>
      </c>
      <c r="E18" s="55"/>
      <c r="F18" s="61"/>
      <c r="G18" s="55"/>
      <c r="H18" s="55"/>
    </row>
    <row r="19" spans="2:8">
      <c r="B19" s="191" t="s">
        <v>152</v>
      </c>
      <c r="C19" s="55">
        <v>8000</v>
      </c>
      <c r="D19" s="294" t="s">
        <v>156</v>
      </c>
      <c r="E19" s="55"/>
      <c r="F19" s="61"/>
      <c r="G19" s="55"/>
      <c r="H19" s="55"/>
    </row>
    <row r="20" spans="2:8">
      <c r="B20" s="191" t="s">
        <v>161</v>
      </c>
      <c r="C20" s="55">
        <v>4096</v>
      </c>
      <c r="D20" s="294" t="s">
        <v>159</v>
      </c>
      <c r="E20" s="55"/>
      <c r="F20" s="61" t="s">
        <v>154</v>
      </c>
      <c r="G20" s="215">
        <f>1-EXP(LN(1-C18)/C19)</f>
        <v>1.2500624979594477E-8</v>
      </c>
      <c r="H20" s="55"/>
    </row>
    <row r="21" spans="2:8">
      <c r="B21" s="191" t="s">
        <v>160</v>
      </c>
      <c r="C21" s="55">
        <v>8</v>
      </c>
      <c r="D21" s="294" t="s">
        <v>162</v>
      </c>
      <c r="E21" s="55"/>
      <c r="F21" s="388" t="s">
        <v>228</v>
      </c>
      <c r="G21" s="215">
        <f>1-(1-G20)^C20</f>
        <v>5.1201249440135932E-5</v>
      </c>
      <c r="H21" s="55"/>
    </row>
    <row r="22" spans="2:8">
      <c r="B22" s="191" t="s">
        <v>153</v>
      </c>
      <c r="C22" s="293">
        <f>C18*C20/(C19/C21)</f>
        <v>4.0960000000000004E-4</v>
      </c>
      <c r="D22" s="294" t="s">
        <v>157</v>
      </c>
      <c r="F22" s="388" t="s">
        <v>229</v>
      </c>
      <c r="G22" s="293">
        <f>1-(1-G20)^(8*C20)</f>
        <v>4.0953659913489648E-4</v>
      </c>
    </row>
    <row r="23" spans="2:8">
      <c r="B23" s="191" t="s">
        <v>154</v>
      </c>
      <c r="C23" s="215">
        <f>C18/C19</f>
        <v>1.2500000000000001E-8</v>
      </c>
      <c r="D23" s="295" t="s">
        <v>158</v>
      </c>
    </row>
    <row r="24" spans="2:8">
      <c r="C24" s="55">
        <f>C22/(8*4096)</f>
        <v>1.2500000000000001E-8</v>
      </c>
      <c r="D24" s="295" t="s">
        <v>158</v>
      </c>
    </row>
    <row r="25" spans="2:8">
      <c r="D25" s="294"/>
      <c r="E25" s="29"/>
      <c r="F25" s="29"/>
    </row>
    <row r="26" spans="2:8">
      <c r="D26" s="29"/>
      <c r="E26" s="29"/>
      <c r="F26" s="29"/>
    </row>
    <row r="27" spans="2:8">
      <c r="E27" s="29"/>
      <c r="F27" s="29"/>
    </row>
  </sheetData>
  <phoneticPr fontId="2" type="noConversion"/>
  <pageMargins left="0.75" right="0.75" top="1" bottom="1" header="0.5" footer="0.5"/>
  <pageSetup orientation="portrait"/>
  <headerFooter alignWithMargins="0"/>
  <drawing r:id="rId1"/>
  <legacy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
  <sheetViews>
    <sheetView workbookViewId="0">
      <selection activeCell="B6" sqref="B6"/>
    </sheetView>
  </sheetViews>
  <sheetFormatPr baseColWidth="10" defaultColWidth="8.83203125" defaultRowHeight="12" x14ac:dyDescent="0"/>
  <sheetData>
    <row r="4" spans="2:2">
      <c r="B4" t="s">
        <v>284</v>
      </c>
    </row>
  </sheetData>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T106"/>
  <sheetViews>
    <sheetView zoomScale="150" zoomScaleNormal="150" zoomScalePageLayoutView="150" workbookViewId="0">
      <selection activeCell="A31" sqref="A31"/>
    </sheetView>
  </sheetViews>
  <sheetFormatPr baseColWidth="10" defaultColWidth="8.83203125" defaultRowHeight="12" x14ac:dyDescent="0"/>
  <cols>
    <col min="2" max="2" width="29" customWidth="1"/>
    <col min="3" max="3" width="22" customWidth="1"/>
    <col min="4" max="4" width="10.6640625" bestFit="1" customWidth="1"/>
    <col min="6" max="6" width="7.5" customWidth="1"/>
    <col min="7" max="7" width="9" customWidth="1"/>
    <col min="8" max="8" width="28.5" customWidth="1"/>
    <col min="9" max="9" width="22" customWidth="1"/>
    <col min="10" max="10" width="9.33203125" customWidth="1"/>
    <col min="13" max="14" width="7.6640625" customWidth="1"/>
    <col min="15" max="15" width="28.1640625" customWidth="1"/>
    <col min="16" max="16" width="22.1640625" customWidth="1"/>
    <col min="17" max="17" width="10.83203125" bestFit="1" customWidth="1"/>
  </cols>
  <sheetData>
    <row r="2" spans="1:18">
      <c r="E2" s="47">
        <f>10*LOG(C5*1000)</f>
        <v>40</v>
      </c>
      <c r="F2" s="47"/>
      <c r="K2" s="47">
        <f>10*LOG(I5*1000)</f>
        <v>40.413926851582254</v>
      </c>
      <c r="L2" s="47"/>
      <c r="R2" s="47">
        <f>10*LOG(P5*1000)</f>
        <v>43.010299956639813</v>
      </c>
    </row>
    <row r="3" spans="1:18" ht="13" thickBot="1"/>
    <row r="4" spans="1:18">
      <c r="A4" s="18"/>
      <c r="B4" s="8" t="s">
        <v>0</v>
      </c>
      <c r="C4" s="9"/>
      <c r="D4" s="171">
        <f>C6-C7+10*LOG(C5)</f>
        <v>40.11</v>
      </c>
      <c r="E4" s="10" t="s">
        <v>1</v>
      </c>
      <c r="F4" s="18"/>
      <c r="H4" s="233" t="s">
        <v>0</v>
      </c>
      <c r="I4" s="9"/>
      <c r="J4" s="171">
        <f>I6-I7+10*LOG(I5)</f>
        <v>40.523926851582253</v>
      </c>
      <c r="K4" s="10" t="s">
        <v>1</v>
      </c>
      <c r="L4" s="18"/>
      <c r="O4" s="8" t="s">
        <v>0</v>
      </c>
      <c r="P4" s="9"/>
      <c r="Q4" s="171">
        <f>P6-P7+10*LOG(P5)</f>
        <v>43.120299956639812</v>
      </c>
      <c r="R4" s="10" t="s">
        <v>1</v>
      </c>
    </row>
    <row r="5" spans="1:18">
      <c r="A5" s="18"/>
      <c r="B5" s="11" t="s">
        <v>130</v>
      </c>
      <c r="C5" s="49">
        <v>10</v>
      </c>
      <c r="D5" s="164"/>
      <c r="E5" s="14" t="s">
        <v>10</v>
      </c>
      <c r="F5" s="18"/>
      <c r="H5" s="166" t="s">
        <v>130</v>
      </c>
      <c r="I5" s="184">
        <v>11</v>
      </c>
      <c r="J5" s="172"/>
      <c r="K5" s="87" t="s">
        <v>10</v>
      </c>
      <c r="L5" s="18"/>
      <c r="O5" s="11" t="s">
        <v>130</v>
      </c>
      <c r="P5" s="184">
        <v>20</v>
      </c>
      <c r="Q5" s="172"/>
      <c r="R5" s="87" t="s">
        <v>10</v>
      </c>
    </row>
    <row r="6" spans="1:18">
      <c r="A6" s="18"/>
      <c r="B6" s="11" t="s">
        <v>134</v>
      </c>
      <c r="C6" s="20">
        <v>31.11</v>
      </c>
      <c r="D6" s="164"/>
      <c r="E6" s="14" t="s">
        <v>9</v>
      </c>
      <c r="F6" s="18"/>
      <c r="H6" s="166" t="s">
        <v>134</v>
      </c>
      <c r="I6" s="20">
        <v>31.11</v>
      </c>
      <c r="J6" s="164"/>
      <c r="K6" s="14" t="s">
        <v>9</v>
      </c>
      <c r="L6" s="18"/>
      <c r="O6" s="11" t="s">
        <v>134</v>
      </c>
      <c r="P6" s="20">
        <v>31.11</v>
      </c>
      <c r="Q6" s="164"/>
      <c r="R6" s="14" t="s">
        <v>9</v>
      </c>
    </row>
    <row r="7" spans="1:18">
      <c r="A7" s="18"/>
      <c r="B7" s="11" t="s">
        <v>132</v>
      </c>
      <c r="C7" s="20">
        <v>1</v>
      </c>
      <c r="D7" s="165"/>
      <c r="E7" s="14" t="s">
        <v>3</v>
      </c>
      <c r="F7" s="18"/>
      <c r="H7" s="166" t="s">
        <v>132</v>
      </c>
      <c r="I7" s="20">
        <v>1</v>
      </c>
      <c r="J7" s="165"/>
      <c r="K7" s="14" t="s">
        <v>3</v>
      </c>
      <c r="L7" s="18"/>
      <c r="O7" s="11" t="s">
        <v>132</v>
      </c>
      <c r="P7" s="20">
        <v>1</v>
      </c>
      <c r="Q7" s="165"/>
      <c r="R7" s="14" t="s">
        <v>3</v>
      </c>
    </row>
    <row r="8" spans="1:18">
      <c r="A8" s="18"/>
      <c r="B8" s="11" t="s">
        <v>83</v>
      </c>
      <c r="C8" s="20"/>
      <c r="D8" s="165">
        <v>3</v>
      </c>
      <c r="E8" s="14"/>
      <c r="F8" s="18"/>
      <c r="H8" s="166" t="s">
        <v>83</v>
      </c>
      <c r="I8" s="20"/>
      <c r="J8" s="165">
        <v>3</v>
      </c>
      <c r="K8" s="14"/>
      <c r="L8" s="18"/>
      <c r="O8" s="11" t="s">
        <v>83</v>
      </c>
      <c r="P8" s="20"/>
      <c r="Q8" s="165">
        <v>3</v>
      </c>
      <c r="R8" s="14"/>
    </row>
    <row r="9" spans="1:18">
      <c r="A9" s="18"/>
      <c r="B9" s="11" t="s">
        <v>2</v>
      </c>
      <c r="C9" s="12"/>
      <c r="D9" s="151">
        <f>20*LOG10(4*PI()*D11*1.852*1000/(300000000/D10))</f>
        <v>143.13802640102725</v>
      </c>
      <c r="E9" s="14" t="s">
        <v>3</v>
      </c>
      <c r="F9" s="18"/>
      <c r="H9" s="166" t="s">
        <v>2</v>
      </c>
      <c r="I9" s="12"/>
      <c r="J9" s="151">
        <f>20*LOG10(4*PI()*J11*1.852*1000/(300000000/J10))</f>
        <v>143.13802640102725</v>
      </c>
      <c r="K9" s="14" t="s">
        <v>3</v>
      </c>
      <c r="L9" s="18"/>
      <c r="O9" s="11" t="s">
        <v>2</v>
      </c>
      <c r="P9" s="12"/>
      <c r="Q9" s="151">
        <f>20*LOG10(4*PI()*Q11*1.852*1000/(300000000/Q10))</f>
        <v>138.25552351447709</v>
      </c>
      <c r="R9" s="14" t="s">
        <v>3</v>
      </c>
    </row>
    <row r="10" spans="1:18">
      <c r="A10" s="18"/>
      <c r="B10" s="11"/>
      <c r="C10" s="12" t="s">
        <v>12</v>
      </c>
      <c r="D10" s="159">
        <f>1850000000</f>
        <v>1850000000</v>
      </c>
      <c r="E10" s="14"/>
      <c r="F10" s="18"/>
      <c r="H10" s="166"/>
      <c r="I10" s="12" t="s">
        <v>12</v>
      </c>
      <c r="J10" s="159">
        <f>1850000000</f>
        <v>1850000000</v>
      </c>
      <c r="K10" s="14"/>
      <c r="L10" s="18"/>
      <c r="O10" s="11"/>
      <c r="P10" s="12" t="s">
        <v>12</v>
      </c>
      <c r="Q10" s="159">
        <f>1850000000</f>
        <v>1850000000</v>
      </c>
      <c r="R10" s="14"/>
    </row>
    <row r="11" spans="1:18">
      <c r="A11" s="18"/>
      <c r="B11" s="11"/>
      <c r="C11" s="12" t="s">
        <v>13</v>
      </c>
      <c r="D11" s="170">
        <v>100</v>
      </c>
      <c r="E11" s="14" t="s">
        <v>61</v>
      </c>
      <c r="F11" s="18"/>
      <c r="H11" s="166"/>
      <c r="I11" s="12" t="s">
        <v>13</v>
      </c>
      <c r="J11" s="170">
        <v>100</v>
      </c>
      <c r="K11" s="14" t="s">
        <v>61</v>
      </c>
      <c r="L11" s="18"/>
      <c r="O11" s="11"/>
      <c r="P11" s="12" t="s">
        <v>13</v>
      </c>
      <c r="Q11" s="170">
        <v>57</v>
      </c>
      <c r="R11" s="14" t="s">
        <v>61</v>
      </c>
    </row>
    <row r="12" spans="1:18">
      <c r="A12" s="18"/>
      <c r="B12" s="11" t="s">
        <v>4</v>
      </c>
      <c r="C12" s="12"/>
      <c r="D12" s="151">
        <f>10*LOG(1.38*10^-23)</f>
        <v>-228.60120913598763</v>
      </c>
      <c r="E12" s="14"/>
      <c r="F12" s="18"/>
      <c r="H12" s="166" t="s">
        <v>4</v>
      </c>
      <c r="I12" s="12"/>
      <c r="J12" s="151">
        <f>10*LOG(1.38*10^-23)</f>
        <v>-228.60120913598763</v>
      </c>
      <c r="K12" s="14"/>
      <c r="L12" s="18"/>
      <c r="O12" s="11" t="s">
        <v>4</v>
      </c>
      <c r="P12" s="12"/>
      <c r="Q12" s="151">
        <f>10*LOG(1.38*10^-23)</f>
        <v>-228.60120913598763</v>
      </c>
      <c r="R12" s="14"/>
    </row>
    <row r="13" spans="1:18">
      <c r="A13" s="18"/>
      <c r="B13" s="11" t="s">
        <v>5</v>
      </c>
      <c r="C13" s="12"/>
      <c r="D13" s="151">
        <v>1</v>
      </c>
      <c r="E13" s="14" t="s">
        <v>3</v>
      </c>
      <c r="F13" s="18"/>
      <c r="H13" s="166" t="s">
        <v>5</v>
      </c>
      <c r="I13" s="12"/>
      <c r="J13" s="151">
        <v>1</v>
      </c>
      <c r="K13" s="14" t="s">
        <v>3</v>
      </c>
      <c r="L13" s="18"/>
      <c r="O13" s="11" t="s">
        <v>5</v>
      </c>
      <c r="P13" s="12"/>
      <c r="Q13" s="151">
        <v>1</v>
      </c>
      <c r="R13" s="14" t="s">
        <v>3</v>
      </c>
    </row>
    <row r="14" spans="1:18">
      <c r="A14" s="18"/>
      <c r="B14" s="11" t="s">
        <v>137</v>
      </c>
      <c r="C14" s="12"/>
      <c r="D14" s="150">
        <f>C17-10*LOG10(C25)-C24-C20</f>
        <v>-38.176626832562818</v>
      </c>
      <c r="E14" s="14" t="s">
        <v>8</v>
      </c>
      <c r="F14" s="18"/>
      <c r="H14" s="11" t="s">
        <v>137</v>
      </c>
      <c r="I14" s="12"/>
      <c r="J14" s="150">
        <f>I17-10*LOG10(I25)-I24-I20</f>
        <v>-38.176626832562818</v>
      </c>
      <c r="K14" s="14" t="s">
        <v>8</v>
      </c>
      <c r="L14" s="18"/>
      <c r="O14" s="11" t="s">
        <v>137</v>
      </c>
      <c r="P14" s="12"/>
      <c r="Q14" s="150">
        <f>P17-10*LOG10(P25)-P24-P20</f>
        <v>-38.176626832562818</v>
      </c>
      <c r="R14" s="14" t="s">
        <v>8</v>
      </c>
    </row>
    <row r="15" spans="1:18">
      <c r="A15" s="18"/>
      <c r="B15" s="11" t="s">
        <v>91</v>
      </c>
      <c r="C15" s="93" t="s">
        <v>84</v>
      </c>
      <c r="D15" s="151" t="s">
        <v>84</v>
      </c>
      <c r="E15" s="14" t="s">
        <v>17</v>
      </c>
      <c r="F15" s="18"/>
      <c r="H15" s="166" t="s">
        <v>91</v>
      </c>
      <c r="I15" s="93" t="s">
        <v>84</v>
      </c>
      <c r="J15" s="151" t="s">
        <v>84</v>
      </c>
      <c r="K15" s="14" t="s">
        <v>17</v>
      </c>
      <c r="L15" s="18"/>
      <c r="O15" s="11" t="s">
        <v>91</v>
      </c>
      <c r="P15" s="93" t="s">
        <v>84</v>
      </c>
      <c r="Q15" s="151" t="s">
        <v>84</v>
      </c>
      <c r="R15" s="14" t="s">
        <v>17</v>
      </c>
    </row>
    <row r="16" spans="1:18">
      <c r="A16" s="18"/>
      <c r="B16" s="11" t="s">
        <v>92</v>
      </c>
      <c r="C16" s="94" t="s">
        <v>93</v>
      </c>
      <c r="D16" s="151"/>
      <c r="E16" s="14" t="s">
        <v>19</v>
      </c>
      <c r="F16" s="18"/>
      <c r="H16" s="166" t="s">
        <v>92</v>
      </c>
      <c r="I16" s="94" t="s">
        <v>93</v>
      </c>
      <c r="J16" s="151"/>
      <c r="K16" s="14" t="s">
        <v>19</v>
      </c>
      <c r="L16" s="18"/>
      <c r="O16" s="11" t="s">
        <v>92</v>
      </c>
      <c r="P16" s="94" t="s">
        <v>93</v>
      </c>
      <c r="Q16" s="151"/>
      <c r="R16" s="14" t="s">
        <v>19</v>
      </c>
    </row>
    <row r="17" spans="1:20">
      <c r="A17" s="18"/>
      <c r="B17" s="11" t="s">
        <v>96</v>
      </c>
      <c r="C17" s="35">
        <v>-5</v>
      </c>
      <c r="D17" s="151"/>
      <c r="E17" s="14" t="s">
        <v>9</v>
      </c>
      <c r="F17" s="29">
        <f>10^(C17/10)</f>
        <v>0.31622776601683794</v>
      </c>
      <c r="G17" s="29"/>
      <c r="H17" s="166" t="s">
        <v>96</v>
      </c>
      <c r="I17" s="35">
        <v>-5</v>
      </c>
      <c r="J17" s="151"/>
      <c r="K17" s="14" t="s">
        <v>9</v>
      </c>
      <c r="L17" s="29">
        <f>10^(I17/10)</f>
        <v>0.31622776601683794</v>
      </c>
      <c r="M17" s="29"/>
      <c r="N17" s="29"/>
      <c r="O17" s="11" t="s">
        <v>96</v>
      </c>
      <c r="P17" s="35">
        <v>-5</v>
      </c>
      <c r="Q17" s="151"/>
      <c r="R17" s="14" t="s">
        <v>9</v>
      </c>
      <c r="S17" s="29">
        <f>10^(P17/10)</f>
        <v>0.31622776601683794</v>
      </c>
      <c r="T17" s="29"/>
    </row>
    <row r="18" spans="1:20" hidden="1">
      <c r="A18" s="18"/>
      <c r="B18" s="11" t="s">
        <v>86</v>
      </c>
      <c r="C18" s="12">
        <v>3</v>
      </c>
      <c r="D18" s="151"/>
      <c r="E18" s="14" t="s">
        <v>3</v>
      </c>
      <c r="F18" s="29">
        <f>10^(C18/10)</f>
        <v>1.9952623149688797</v>
      </c>
      <c r="G18" s="29"/>
      <c r="H18" s="166" t="s">
        <v>86</v>
      </c>
      <c r="I18" s="12">
        <v>3</v>
      </c>
      <c r="J18" s="151"/>
      <c r="K18" s="14" t="s">
        <v>3</v>
      </c>
      <c r="L18" s="29">
        <f>10^(I18/10)</f>
        <v>1.9952623149688797</v>
      </c>
      <c r="M18" s="29"/>
      <c r="N18" s="29"/>
      <c r="O18" s="11" t="s">
        <v>86</v>
      </c>
      <c r="P18" s="12">
        <v>3</v>
      </c>
      <c r="Q18" s="151"/>
      <c r="R18" s="14" t="s">
        <v>3</v>
      </c>
      <c r="S18" s="29">
        <f>10^(P18/10)</f>
        <v>1.9952623149688797</v>
      </c>
      <c r="T18" s="29"/>
    </row>
    <row r="19" spans="1:20" hidden="1">
      <c r="A19" s="18"/>
      <c r="B19" s="11" t="s">
        <v>116</v>
      </c>
      <c r="C19" s="12">
        <v>25</v>
      </c>
      <c r="D19" s="151"/>
      <c r="E19" s="14" t="s">
        <v>3</v>
      </c>
      <c r="F19" s="63">
        <f>10^(C19/10)</f>
        <v>316.22776601683825</v>
      </c>
      <c r="G19" s="29"/>
      <c r="H19" s="166" t="s">
        <v>116</v>
      </c>
      <c r="I19" s="12">
        <v>25</v>
      </c>
      <c r="J19" s="151"/>
      <c r="K19" s="14" t="s">
        <v>3</v>
      </c>
      <c r="L19" s="63">
        <f>10^(I19/10)</f>
        <v>316.22776601683825</v>
      </c>
      <c r="M19" s="29"/>
      <c r="N19" s="29"/>
      <c r="O19" s="11" t="s">
        <v>116</v>
      </c>
      <c r="P19" s="12">
        <v>25</v>
      </c>
      <c r="Q19" s="151"/>
      <c r="R19" s="14" t="s">
        <v>3</v>
      </c>
      <c r="S19" s="63">
        <f>10^(P19/10)</f>
        <v>316.22776601683825</v>
      </c>
      <c r="T19" s="29"/>
    </row>
    <row r="20" spans="1:20">
      <c r="A20" s="18"/>
      <c r="B20" s="11" t="s">
        <v>115</v>
      </c>
      <c r="C20" s="12">
        <v>1.5</v>
      </c>
      <c r="D20" s="151"/>
      <c r="E20" s="14" t="s">
        <v>3</v>
      </c>
      <c r="F20" s="29">
        <f>10^(-C20/10)</f>
        <v>0.70794578438413791</v>
      </c>
      <c r="G20" s="29"/>
      <c r="H20" s="166" t="s">
        <v>115</v>
      </c>
      <c r="I20" s="12">
        <v>1.5</v>
      </c>
      <c r="J20" s="151"/>
      <c r="K20" s="14" t="s">
        <v>3</v>
      </c>
      <c r="L20" s="29">
        <f>10^(-I20/10)</f>
        <v>0.70794578438413791</v>
      </c>
      <c r="M20" s="29"/>
      <c r="N20" s="29"/>
      <c r="O20" s="11" t="s">
        <v>115</v>
      </c>
      <c r="P20" s="12">
        <v>1.5</v>
      </c>
      <c r="Q20" s="151"/>
      <c r="R20" s="14" t="s">
        <v>3</v>
      </c>
      <c r="S20" s="29">
        <f>10^(-P20/10)</f>
        <v>0.70794578438413791</v>
      </c>
      <c r="T20" s="29"/>
    </row>
    <row r="21" spans="1:20">
      <c r="A21" s="18"/>
      <c r="B21" s="11" t="s">
        <v>16</v>
      </c>
      <c r="C21" s="12">
        <v>150</v>
      </c>
      <c r="D21" s="151"/>
      <c r="E21" s="14" t="s">
        <v>11</v>
      </c>
      <c r="F21" s="29"/>
      <c r="G21" s="29"/>
      <c r="H21" s="166" t="s">
        <v>16</v>
      </c>
      <c r="I21" s="12">
        <v>150</v>
      </c>
      <c r="J21" s="151"/>
      <c r="K21" s="14" t="s">
        <v>11</v>
      </c>
      <c r="L21" s="29"/>
      <c r="M21" s="29"/>
      <c r="N21" s="29"/>
      <c r="O21" s="11" t="s">
        <v>16</v>
      </c>
      <c r="P21" s="12">
        <v>150</v>
      </c>
      <c r="Q21" s="151"/>
      <c r="R21" s="14" t="s">
        <v>11</v>
      </c>
      <c r="S21" s="29"/>
      <c r="T21" s="29"/>
    </row>
    <row r="22" spans="1:20">
      <c r="A22" s="18"/>
      <c r="B22" s="11" t="s">
        <v>90</v>
      </c>
      <c r="C22" s="12">
        <v>300</v>
      </c>
      <c r="D22" s="151"/>
      <c r="E22" s="14" t="s">
        <v>11</v>
      </c>
      <c r="F22" s="29"/>
      <c r="G22" s="29"/>
      <c r="H22" s="166" t="s">
        <v>90</v>
      </c>
      <c r="I22" s="12">
        <v>300</v>
      </c>
      <c r="J22" s="151"/>
      <c r="K22" s="14" t="s">
        <v>11</v>
      </c>
      <c r="L22" s="29"/>
      <c r="M22" s="29"/>
      <c r="N22" s="29"/>
      <c r="O22" s="11" t="s">
        <v>90</v>
      </c>
      <c r="P22" s="12">
        <v>300</v>
      </c>
      <c r="Q22" s="151"/>
      <c r="R22" s="14" t="s">
        <v>11</v>
      </c>
      <c r="S22" s="29"/>
      <c r="T22" s="29"/>
    </row>
    <row r="23" spans="1:20">
      <c r="A23" s="18"/>
      <c r="B23" s="11" t="s">
        <v>117</v>
      </c>
      <c r="C23" s="35">
        <v>350</v>
      </c>
      <c r="D23" s="151"/>
      <c r="E23" s="14" t="s">
        <v>11</v>
      </c>
      <c r="F23" s="29">
        <f>10*LOG(1+C23/C22)</f>
        <v>3.3579210192319318</v>
      </c>
      <c r="G23" s="29">
        <f>10^(F23/10)</f>
        <v>2.1666666666666674</v>
      </c>
      <c r="H23" s="166" t="s">
        <v>117</v>
      </c>
      <c r="I23" s="35">
        <v>350</v>
      </c>
      <c r="J23" s="151"/>
      <c r="K23" s="14" t="s">
        <v>11</v>
      </c>
      <c r="L23" s="29">
        <f>10*LOG(1+I23/I22)</f>
        <v>3.3579210192319318</v>
      </c>
      <c r="M23" s="29">
        <f>10^(L23/10)</f>
        <v>2.1666666666666674</v>
      </c>
      <c r="N23" s="29"/>
      <c r="O23" s="11" t="s">
        <v>117</v>
      </c>
      <c r="P23" s="35">
        <v>350</v>
      </c>
      <c r="Q23" s="151"/>
      <c r="R23" s="14" t="s">
        <v>11</v>
      </c>
      <c r="S23" s="29">
        <f>10*LOG(1+P23/P22)</f>
        <v>3.3579210192319318</v>
      </c>
      <c r="T23" s="29">
        <f>10^(S23/10)</f>
        <v>2.1666666666666674</v>
      </c>
    </row>
    <row r="24" spans="1:20">
      <c r="A24" s="18"/>
      <c r="B24" s="11" t="s">
        <v>118</v>
      </c>
      <c r="C24" s="12">
        <v>2</v>
      </c>
      <c r="D24" s="151"/>
      <c r="E24" s="14" t="s">
        <v>3</v>
      </c>
      <c r="F24" s="29">
        <f>10^(-C24/10)</f>
        <v>0.63095734448019325</v>
      </c>
      <c r="G24" s="29"/>
      <c r="H24" s="166" t="s">
        <v>118</v>
      </c>
      <c r="I24" s="12">
        <v>2</v>
      </c>
      <c r="J24" s="151"/>
      <c r="K24" s="14" t="s">
        <v>3</v>
      </c>
      <c r="L24" s="29">
        <f>10^(-I24/10)</f>
        <v>0.63095734448019325</v>
      </c>
      <c r="M24" s="29"/>
      <c r="N24" s="29"/>
      <c r="O24" s="11" t="s">
        <v>118</v>
      </c>
      <c r="P24" s="12">
        <v>2</v>
      </c>
      <c r="Q24" s="151"/>
      <c r="R24" s="14" t="s">
        <v>3</v>
      </c>
      <c r="S24" s="29">
        <f>10^(-P24/10)</f>
        <v>0.63095734448019325</v>
      </c>
      <c r="T24" s="29"/>
    </row>
    <row r="25" spans="1:20">
      <c r="A25" s="18"/>
      <c r="B25" s="11" t="s">
        <v>87</v>
      </c>
      <c r="C25" s="35">
        <f>C23*(1/F24-1)*(F24*F20)+(C21/2+C22/2)*(F24*F20)+C22*(1/F20-1)*F20+C22*(F30-1)</f>
        <v>928.24513825085035</v>
      </c>
      <c r="D25" s="151"/>
      <c r="E25" s="14" t="s">
        <v>11</v>
      </c>
      <c r="F25" s="29">
        <f>10*LOG(1+C25/C22)</f>
        <v>6.1216379902755369</v>
      </c>
      <c r="G25" s="29">
        <f>10^(F25/10)</f>
        <v>4.0941504608361692</v>
      </c>
      <c r="H25" s="11" t="s">
        <v>87</v>
      </c>
      <c r="I25" s="35">
        <f>I23*(1/L24-1)*(L24*L20)+(I21/2+I22/2)*(L24*L20)+I22*(1/L20-1)*L20+I22*(L30-1)</f>
        <v>928.24513825085035</v>
      </c>
      <c r="J25" s="151"/>
      <c r="K25" s="14" t="s">
        <v>11</v>
      </c>
      <c r="L25" s="29">
        <f>10*LOG(1+I25/I22)</f>
        <v>6.1216379902755369</v>
      </c>
      <c r="M25" s="29">
        <f>10^(L25/10)</f>
        <v>4.0941504608361692</v>
      </c>
      <c r="N25" s="29"/>
      <c r="O25" s="11" t="s">
        <v>87</v>
      </c>
      <c r="P25" s="35">
        <f>P23*(1/S24-1)*(S24*S20)+(P21/2+P22/2)*(S24*S20)+P22*(1/S20-1)*S20+P22*(S30-1)</f>
        <v>928.24513825085035</v>
      </c>
      <c r="Q25" s="151"/>
      <c r="R25" s="14" t="s">
        <v>11</v>
      </c>
      <c r="S25" s="29">
        <f>10*LOG(1+P25/P22)</f>
        <v>6.1216379902755369</v>
      </c>
      <c r="T25" s="29">
        <f>10^(S25/10)</f>
        <v>4.0941504608361692</v>
      </c>
    </row>
    <row r="26" spans="1:20">
      <c r="A26" s="18"/>
      <c r="B26" s="11" t="s">
        <v>143</v>
      </c>
      <c r="C26" s="1"/>
      <c r="D26" s="151">
        <v>1</v>
      </c>
      <c r="E26" s="6" t="s">
        <v>3</v>
      </c>
      <c r="F26" s="29">
        <f>10^(-D26/10)</f>
        <v>0.79432823472428149</v>
      </c>
      <c r="G26" s="29"/>
      <c r="H26" s="11" t="s">
        <v>143</v>
      </c>
      <c r="I26" s="1"/>
      <c r="J26" s="151">
        <v>1</v>
      </c>
      <c r="K26" s="6" t="s">
        <v>3</v>
      </c>
      <c r="L26" s="29">
        <f>10^(-J26/10)</f>
        <v>0.79432823472428149</v>
      </c>
      <c r="M26" s="29"/>
      <c r="N26" s="29"/>
      <c r="O26" s="11" t="s">
        <v>143</v>
      </c>
      <c r="P26" s="1"/>
      <c r="Q26" s="151">
        <v>1</v>
      </c>
      <c r="R26" s="6" t="s">
        <v>3</v>
      </c>
      <c r="S26" s="29">
        <f>10^(-Q26/10)</f>
        <v>0.79432823472428149</v>
      </c>
      <c r="T26" s="29"/>
    </row>
    <row r="27" spans="1:20">
      <c r="A27" s="18"/>
      <c r="B27" s="11" t="s">
        <v>88</v>
      </c>
      <c r="C27" s="1"/>
      <c r="D27" s="151"/>
      <c r="E27" s="6" t="s">
        <v>3</v>
      </c>
      <c r="F27" s="29"/>
      <c r="G27" s="29"/>
      <c r="H27" s="166" t="s">
        <v>88</v>
      </c>
      <c r="I27" s="1"/>
      <c r="J27" s="151"/>
      <c r="K27" s="6" t="s">
        <v>3</v>
      </c>
      <c r="L27" s="29"/>
      <c r="M27" s="29"/>
      <c r="N27" s="29"/>
      <c r="O27" s="11" t="s">
        <v>88</v>
      </c>
      <c r="P27" s="1"/>
      <c r="Q27" s="151"/>
      <c r="R27" s="6" t="s">
        <v>3</v>
      </c>
      <c r="S27" s="29"/>
      <c r="T27" s="29"/>
    </row>
    <row r="28" spans="1:20">
      <c r="A28" s="18"/>
      <c r="B28" s="11" t="s">
        <v>89</v>
      </c>
      <c r="C28" s="12"/>
      <c r="D28" s="151">
        <v>3</v>
      </c>
      <c r="E28" s="14" t="s">
        <v>3</v>
      </c>
      <c r="F28" s="29">
        <f>10^(-D28/10)</f>
        <v>0.50118723362727224</v>
      </c>
      <c r="G28" s="29"/>
      <c r="H28" s="166" t="s">
        <v>89</v>
      </c>
      <c r="I28" s="12"/>
      <c r="J28" s="151">
        <v>3</v>
      </c>
      <c r="K28" s="14" t="s">
        <v>3</v>
      </c>
      <c r="L28" s="29">
        <f>10^(-J28/10)</f>
        <v>0.50118723362727224</v>
      </c>
      <c r="M28" s="29"/>
      <c r="N28" s="29"/>
      <c r="O28" s="11" t="s">
        <v>89</v>
      </c>
      <c r="P28" s="12"/>
      <c r="Q28" s="151">
        <v>3</v>
      </c>
      <c r="R28" s="14" t="s">
        <v>3</v>
      </c>
      <c r="S28" s="29">
        <f>10^(-Q28/10)</f>
        <v>0.50118723362727224</v>
      </c>
      <c r="T28" s="29"/>
    </row>
    <row r="29" spans="1:20" hidden="1">
      <c r="A29" s="18"/>
      <c r="B29" s="11" t="s">
        <v>112</v>
      </c>
      <c r="C29" s="12"/>
      <c r="D29" s="150">
        <v>0.3</v>
      </c>
      <c r="E29" s="14" t="s">
        <v>3</v>
      </c>
      <c r="F29" s="29">
        <f>10^(-D29/10)</f>
        <v>0.93325430079699101</v>
      </c>
      <c r="G29" s="29"/>
      <c r="H29" s="166" t="s">
        <v>112</v>
      </c>
      <c r="I29" s="12"/>
      <c r="J29" s="150">
        <v>0.3</v>
      </c>
      <c r="K29" s="14" t="s">
        <v>3</v>
      </c>
      <c r="L29" s="29">
        <f>10^(-J29/10)</f>
        <v>0.93325430079699101</v>
      </c>
      <c r="M29" s="29"/>
      <c r="N29" s="29"/>
      <c r="O29" s="11" t="s">
        <v>112</v>
      </c>
      <c r="P29" s="12"/>
      <c r="Q29" s="150">
        <v>0.3</v>
      </c>
      <c r="R29" s="14" t="s">
        <v>3</v>
      </c>
      <c r="S29" s="29">
        <f>10^(-Q29/10)</f>
        <v>0.93325430079699101</v>
      </c>
      <c r="T29" s="29"/>
    </row>
    <row r="30" spans="1:20">
      <c r="A30" s="18"/>
      <c r="B30" s="11" t="s">
        <v>110</v>
      </c>
      <c r="C30" s="12"/>
      <c r="D30" s="170">
        <v>5</v>
      </c>
      <c r="E30" s="14" t="s">
        <v>3</v>
      </c>
      <c r="F30" s="29">
        <f>10^(D30/10)</f>
        <v>3.1622776601683795</v>
      </c>
      <c r="G30" s="29"/>
      <c r="H30" s="166" t="s">
        <v>110</v>
      </c>
      <c r="I30" s="12"/>
      <c r="J30" s="170">
        <v>5</v>
      </c>
      <c r="K30" s="14" t="s">
        <v>3</v>
      </c>
      <c r="L30" s="29">
        <f>10^(J30/10)</f>
        <v>3.1622776601683795</v>
      </c>
      <c r="M30" s="29"/>
      <c r="N30" s="29"/>
      <c r="O30" s="11" t="s">
        <v>110</v>
      </c>
      <c r="P30" s="12"/>
      <c r="Q30" s="170">
        <v>5</v>
      </c>
      <c r="R30" s="14" t="s">
        <v>3</v>
      </c>
      <c r="S30" s="29">
        <f>10^(Q30/10)</f>
        <v>3.1622776601683795</v>
      </c>
      <c r="T30" s="29"/>
    </row>
    <row r="31" spans="1:20" s="60" customFormat="1" ht="24">
      <c r="A31" s="196"/>
      <c r="B31" s="179"/>
      <c r="C31" s="175" t="s">
        <v>261</v>
      </c>
      <c r="D31" s="227">
        <f>'TA -&gt; GS (SC-SOQPSK)'!D31</f>
        <v>20468457.971699942</v>
      </c>
      <c r="E31" s="226" t="s">
        <v>47</v>
      </c>
      <c r="F31" s="111"/>
      <c r="G31" s="111"/>
      <c r="H31" s="179"/>
      <c r="I31" s="175" t="s">
        <v>260</v>
      </c>
      <c r="J31" s="227">
        <f>'TA -&gt; GS (MC-QPSK)'!D31</f>
        <v>21594179.806492455</v>
      </c>
      <c r="K31" s="226" t="s">
        <v>47</v>
      </c>
      <c r="L31" s="196"/>
      <c r="O31" s="179"/>
      <c r="P31" s="175" t="s">
        <v>259</v>
      </c>
      <c r="Q31" s="227">
        <f>'TA -&gt; GS (MC-QAM)'!D31</f>
        <v>43179426.728933506</v>
      </c>
      <c r="R31" s="226" t="s">
        <v>47</v>
      </c>
    </row>
    <row r="32" spans="1:20">
      <c r="A32" s="18"/>
      <c r="B32" s="166" t="s">
        <v>258</v>
      </c>
      <c r="C32" s="12"/>
      <c r="D32" s="151">
        <f>10*LOG10(D31)</f>
        <v>73.110851255346432</v>
      </c>
      <c r="E32" s="14" t="s">
        <v>7</v>
      </c>
      <c r="F32" s="18"/>
      <c r="H32" s="166" t="s">
        <v>258</v>
      </c>
      <c r="I32" s="12"/>
      <c r="J32" s="151">
        <f>10*LOG10(J31)</f>
        <v>73.343367132559848</v>
      </c>
      <c r="K32" s="14" t="s">
        <v>7</v>
      </c>
      <c r="L32" s="18"/>
      <c r="O32" s="166" t="s">
        <v>258</v>
      </c>
      <c r="P32" s="12"/>
      <c r="Q32" s="151">
        <f>10*LOG10(Q31)</f>
        <v>76.352768721317574</v>
      </c>
      <c r="R32" s="14" t="s">
        <v>7</v>
      </c>
    </row>
    <row r="33" spans="1:20">
      <c r="A33" s="18"/>
      <c r="B33" s="185" t="s">
        <v>100</v>
      </c>
      <c r="C33" s="12"/>
      <c r="D33" s="151">
        <v>0</v>
      </c>
      <c r="E33" s="14" t="s">
        <v>3</v>
      </c>
      <c r="F33" s="18"/>
      <c r="H33" s="185" t="s">
        <v>100</v>
      </c>
      <c r="I33" s="12"/>
      <c r="J33" s="151">
        <v>1</v>
      </c>
      <c r="K33" s="14" t="s">
        <v>3</v>
      </c>
      <c r="L33" s="18"/>
      <c r="O33" s="185" t="s">
        <v>100</v>
      </c>
      <c r="P33" s="12"/>
      <c r="Q33" s="151">
        <v>1</v>
      </c>
      <c r="R33" s="14" t="s">
        <v>3</v>
      </c>
    </row>
    <row r="34" spans="1:20">
      <c r="A34" s="18"/>
      <c r="B34" s="166" t="s">
        <v>166</v>
      </c>
      <c r="C34" s="12" t="s">
        <v>97</v>
      </c>
      <c r="D34" s="149">
        <f>D44-10*LOG(D31/D47)</f>
        <v>0.48908740944318763</v>
      </c>
      <c r="E34" s="14" t="s">
        <v>3</v>
      </c>
      <c r="F34" s="18"/>
      <c r="H34" s="166" t="s">
        <v>166</v>
      </c>
      <c r="I34" s="12" t="s">
        <v>6</v>
      </c>
      <c r="J34" s="150">
        <f>'Req EbNo values'!C6</f>
        <v>2.35</v>
      </c>
      <c r="K34" s="14" t="s">
        <v>3</v>
      </c>
      <c r="L34" s="18"/>
      <c r="O34" s="166" t="s">
        <v>166</v>
      </c>
      <c r="P34" s="12" t="s">
        <v>98</v>
      </c>
      <c r="Q34" s="149">
        <f>'Req EbNo values'!C9</f>
        <v>6.5</v>
      </c>
      <c r="R34" s="14" t="s">
        <v>3</v>
      </c>
    </row>
    <row r="35" spans="1:20">
      <c r="A35" s="18"/>
      <c r="B35" s="11" t="s">
        <v>113</v>
      </c>
      <c r="C35" s="12"/>
      <c r="D35" s="151">
        <v>2</v>
      </c>
      <c r="E35" s="14" t="s">
        <v>3</v>
      </c>
      <c r="F35" s="18"/>
      <c r="H35" s="11" t="s">
        <v>113</v>
      </c>
      <c r="I35" s="12"/>
      <c r="J35" s="151">
        <v>2</v>
      </c>
      <c r="K35" s="14" t="s">
        <v>3</v>
      </c>
      <c r="L35" s="18"/>
      <c r="O35" s="11" t="s">
        <v>113</v>
      </c>
      <c r="P35" s="12"/>
      <c r="Q35" s="151">
        <v>2</v>
      </c>
      <c r="R35" s="14" t="s">
        <v>3</v>
      </c>
    </row>
    <row r="36" spans="1:20">
      <c r="A36" s="18"/>
      <c r="B36" s="11" t="s">
        <v>85</v>
      </c>
      <c r="C36" s="12"/>
      <c r="D36" s="151">
        <v>1</v>
      </c>
      <c r="E36" s="14" t="s">
        <v>3</v>
      </c>
      <c r="F36" s="18"/>
      <c r="H36" s="167" t="s">
        <v>85</v>
      </c>
      <c r="I36" s="12"/>
      <c r="J36" s="151">
        <v>1</v>
      </c>
      <c r="K36" s="14" t="s">
        <v>3</v>
      </c>
      <c r="L36" s="18"/>
      <c r="O36" s="167" t="s">
        <v>85</v>
      </c>
      <c r="P36" s="12"/>
      <c r="Q36" s="151">
        <v>1</v>
      </c>
      <c r="R36" s="14" t="s">
        <v>3</v>
      </c>
    </row>
    <row r="37" spans="1:20" ht="13" thickBot="1">
      <c r="A37" s="18"/>
      <c r="B37" s="168" t="s">
        <v>49</v>
      </c>
      <c r="C37" s="16"/>
      <c r="D37" s="163">
        <f>D4-D8-D9-D12-D13+D14-D26-D27-D28-D32-D33-D34-D35-D36</f>
        <v>2.7966172376079461</v>
      </c>
      <c r="E37" s="17" t="s">
        <v>3</v>
      </c>
      <c r="F37" s="57">
        <f>D42-D48</f>
        <v>2.8193880806098832</v>
      </c>
      <c r="H37" s="168" t="s">
        <v>49</v>
      </c>
      <c r="I37" s="16"/>
      <c r="J37" s="163">
        <f>J4-J8-J9-J12-J13+J14-J26-J27-J28-J32-J33-J34-J35-J36</f>
        <v>0.11711562141996401</v>
      </c>
      <c r="K37" s="17" t="s">
        <v>3</v>
      </c>
      <c r="L37" s="57">
        <f>J42-J48</f>
        <v>0.139886464421906</v>
      </c>
      <c r="O37" s="168" t="s">
        <v>49</v>
      </c>
      <c r="P37" s="16"/>
      <c r="Q37" s="163">
        <f>Q4-Q8-Q9-Q12-Q13+Q14-Q26-Q27-Q28-Q32-Q33-Q34-Q35-Q36</f>
        <v>0.43659002426997517</v>
      </c>
      <c r="R37" s="17" t="s">
        <v>3</v>
      </c>
      <c r="S37" s="57">
        <f>Q42-Q48</f>
        <v>0.45936086727189718</v>
      </c>
    </row>
    <row r="38" spans="1:20">
      <c r="D38" s="48"/>
      <c r="H38" s="234"/>
      <c r="J38" s="48"/>
      <c r="L38" s="47"/>
      <c r="Q38" s="48"/>
    </row>
    <row r="39" spans="1:20">
      <c r="F39" s="56"/>
      <c r="H39" s="234"/>
      <c r="L39" s="47"/>
    </row>
    <row r="40" spans="1:20" ht="13" thickBot="1">
      <c r="H40" s="234"/>
      <c r="L40" s="100"/>
    </row>
    <row r="41" spans="1:20">
      <c r="B41" s="2" t="s">
        <v>139</v>
      </c>
      <c r="C41" s="3"/>
      <c r="D41" s="222">
        <f>10*LOG(1000*10^(D4/10))-D8-D9-D13</f>
        <v>-77.028026401027233</v>
      </c>
      <c r="E41" s="4" t="s">
        <v>50</v>
      </c>
      <c r="F41" s="182"/>
      <c r="G41" s="182"/>
      <c r="H41" s="2" t="s">
        <v>139</v>
      </c>
      <c r="I41" s="3"/>
      <c r="J41" s="222">
        <f>10*LOG(1000*10^(J4/10))-J8-J9-J13</f>
        <v>-76.614099549444987</v>
      </c>
      <c r="K41" s="4" t="s">
        <v>50</v>
      </c>
      <c r="L41" s="182"/>
      <c r="M41" s="182"/>
      <c r="N41" s="182"/>
      <c r="O41" s="2" t="s">
        <v>139</v>
      </c>
      <c r="P41" s="3"/>
      <c r="Q41" s="222">
        <f>10*LOG(1000*10^(Q4/10))-Q8-Q9-Q13</f>
        <v>-69.135223557837264</v>
      </c>
      <c r="R41" s="4" t="s">
        <v>50</v>
      </c>
      <c r="S41" s="182"/>
    </row>
    <row r="42" spans="1:20">
      <c r="B42" s="223" t="s">
        <v>169</v>
      </c>
      <c r="C42" s="1"/>
      <c r="D42" s="153">
        <f>D41+C17-D26-D28-C24-C20</f>
        <v>-89.528026401027233</v>
      </c>
      <c r="E42" s="6" t="s">
        <v>126</v>
      </c>
      <c r="F42" s="182"/>
      <c r="G42" s="182"/>
      <c r="H42" s="223" t="s">
        <v>169</v>
      </c>
      <c r="I42" s="1"/>
      <c r="J42" s="153">
        <f>J41+I17-J26-J28-I24-I20</f>
        <v>-89.114099549444987</v>
      </c>
      <c r="K42" s="6" t="s">
        <v>126</v>
      </c>
      <c r="L42" s="182"/>
      <c r="M42" s="182"/>
      <c r="N42" s="182"/>
      <c r="O42" s="223" t="s">
        <v>169</v>
      </c>
      <c r="P42" s="1"/>
      <c r="Q42" s="153">
        <f>Q41+P17-Q26-Q28-P24-P20</f>
        <v>-81.635223557837264</v>
      </c>
      <c r="R42" s="6" t="s">
        <v>126</v>
      </c>
      <c r="S42" s="182"/>
    </row>
    <row r="43" spans="1:20">
      <c r="B43" s="5" t="s">
        <v>135</v>
      </c>
      <c r="C43" s="1"/>
      <c r="D43" s="150">
        <f>-174+10*LOG(C25/290)</f>
        <v>-168.94735314642674</v>
      </c>
      <c r="E43" s="6" t="s">
        <v>107</v>
      </c>
      <c r="F43" s="182"/>
      <c r="G43" s="182"/>
      <c r="H43" s="5" t="s">
        <v>135</v>
      </c>
      <c r="I43" s="1"/>
      <c r="J43" s="150">
        <f>-174+10*LOG(I25/290)</f>
        <v>-168.94735314642674</v>
      </c>
      <c r="K43" s="6" t="s">
        <v>107</v>
      </c>
      <c r="L43" s="182"/>
      <c r="M43" s="182"/>
      <c r="N43" s="182"/>
      <c r="O43" s="5" t="s">
        <v>135</v>
      </c>
      <c r="P43" s="1"/>
      <c r="Q43" s="150">
        <f>-174+10*LOG(P25/290)</f>
        <v>-168.94735314642674</v>
      </c>
      <c r="R43" s="6" t="s">
        <v>107</v>
      </c>
      <c r="S43" s="182"/>
    </row>
    <row r="44" spans="1:20">
      <c r="B44" s="5" t="s">
        <v>165</v>
      </c>
      <c r="C44" s="1" t="s">
        <v>167</v>
      </c>
      <c r="D44" s="150">
        <f>'Req EbNo values'!C16</f>
        <v>2.25</v>
      </c>
      <c r="E44" s="6" t="s">
        <v>60</v>
      </c>
      <c r="F44" s="182"/>
      <c r="G44" s="182"/>
      <c r="H44" s="5" t="s">
        <v>165</v>
      </c>
      <c r="I44" s="1" t="s">
        <v>167</v>
      </c>
      <c r="J44" s="150">
        <f>'Req EbNo values'!C5</f>
        <v>5</v>
      </c>
      <c r="K44" s="6" t="s">
        <v>60</v>
      </c>
      <c r="L44" s="182"/>
      <c r="M44" s="182"/>
      <c r="N44" s="182"/>
      <c r="O44" s="5" t="s">
        <v>165</v>
      </c>
      <c r="P44" s="1" t="s">
        <v>167</v>
      </c>
      <c r="Q44" s="150">
        <f>'Req EbNo values'!C8</f>
        <v>14</v>
      </c>
      <c r="R44" s="6" t="s">
        <v>60</v>
      </c>
      <c r="S44" s="182"/>
    </row>
    <row r="45" spans="1:20" hidden="1">
      <c r="B45" s="223" t="s">
        <v>111</v>
      </c>
      <c r="C45" s="1"/>
      <c r="D45" s="153" t="e">
        <f>10*LOG(F19*F20*F29*(G25-(1+(B23/B22)*(1/F24-1))-(1+(B22/B22)*(1/F20-1))-(F18-1)/F20-((1+(B22/B22)*(1/F29-1))-1)/(F20*F19))+1)</f>
        <v>#VALUE!</v>
      </c>
      <c r="E45" s="6" t="s">
        <v>3</v>
      </c>
      <c r="F45" s="182"/>
      <c r="G45" s="182"/>
      <c r="H45" s="223" t="s">
        <v>111</v>
      </c>
      <c r="I45" s="1"/>
      <c r="J45" s="153" t="e">
        <f>10*LOG(L19*L20*L29*(M25-(1+(H23/H22)*(1/L24-1))-(1+(H22/H22)*(1/L20-1))-(L18-1)/L20-((1+(H22/H22)*(1/L29-1))-1)/(L20*L19))+1)</f>
        <v>#VALUE!</v>
      </c>
      <c r="K45" s="6" t="s">
        <v>3</v>
      </c>
      <c r="L45" s="182"/>
      <c r="M45" s="182"/>
      <c r="N45" s="182"/>
      <c r="O45" s="223" t="s">
        <v>111</v>
      </c>
      <c r="P45" s="1"/>
      <c r="Q45" s="153" t="e">
        <f>10*LOG(S19*S20*S29*(T25-(1+(O23/O22)*(1/S24-1))-(1+(O22/O22)*(1/S20-1))-(S18-1)/S20-((1+(O22/O22)*(1/S29-1))-1)/(S20*S19))+1)</f>
        <v>#VALUE!</v>
      </c>
      <c r="R45" s="6" t="s">
        <v>3</v>
      </c>
      <c r="S45" s="182"/>
    </row>
    <row r="46" spans="1:20">
      <c r="B46" s="5" t="s">
        <v>150</v>
      </c>
      <c r="C46" s="220"/>
      <c r="D46" s="151">
        <f>D30</f>
        <v>5</v>
      </c>
      <c r="E46" s="6" t="s">
        <v>3</v>
      </c>
      <c r="F46" s="182"/>
      <c r="G46" s="182"/>
      <c r="H46" s="5" t="s">
        <v>150</v>
      </c>
      <c r="I46" s="220"/>
      <c r="J46" s="151">
        <f>J30</f>
        <v>5</v>
      </c>
      <c r="K46" s="6" t="s">
        <v>3</v>
      </c>
      <c r="L46" s="182"/>
      <c r="M46" s="182"/>
      <c r="N46" s="182"/>
      <c r="O46" s="5" t="s">
        <v>150</v>
      </c>
      <c r="P46" s="220"/>
      <c r="Q46" s="151">
        <f>Q30</f>
        <v>5</v>
      </c>
      <c r="R46" s="6" t="s">
        <v>3</v>
      </c>
      <c r="S46" s="182"/>
    </row>
    <row r="47" spans="1:20" hidden="1">
      <c r="B47" s="5" t="s">
        <v>168</v>
      </c>
      <c r="C47" s="292"/>
      <c r="D47" s="151">
        <f>'TA -&gt; GS (SC-SOQPSK)'!D47</f>
        <v>13645638.647799961</v>
      </c>
      <c r="E47" s="6" t="s">
        <v>47</v>
      </c>
      <c r="F47" s="182"/>
      <c r="G47" s="182"/>
      <c r="H47" s="5" t="s">
        <v>168</v>
      </c>
      <c r="I47" s="292"/>
      <c r="J47" s="151" t="e">
        <f>'TA -&gt; GS (MC-QPSK)'!D47</f>
        <v>#REF!</v>
      </c>
      <c r="K47" s="6" t="s">
        <v>47</v>
      </c>
      <c r="L47" s="182"/>
      <c r="M47" s="182"/>
      <c r="N47" s="182"/>
      <c r="O47" s="5" t="s">
        <v>168</v>
      </c>
      <c r="P47" s="292"/>
      <c r="Q47" s="151" t="e">
        <f>'TA -&gt; GS (MC-QAM)'!D47</f>
        <v>#REF!</v>
      </c>
      <c r="R47" s="6" t="s">
        <v>47</v>
      </c>
      <c r="S47" s="182"/>
    </row>
    <row r="48" spans="1:20" s="60" customFormat="1" ht="25" thickBot="1">
      <c r="B48" s="275" t="s">
        <v>141</v>
      </c>
      <c r="C48" s="305" t="s">
        <v>167</v>
      </c>
      <c r="D48" s="277">
        <f>D43+D34+D33+D35+D36+10*LOG(D49)</f>
        <v>-92.347414481637117</v>
      </c>
      <c r="E48" s="123" t="s">
        <v>50</v>
      </c>
      <c r="F48" s="278"/>
      <c r="G48" s="307">
        <f>D43+D34+D33+D35+D36</f>
        <v>-165.45826573698355</v>
      </c>
      <c r="H48" s="275" t="s">
        <v>141</v>
      </c>
      <c r="I48" s="305" t="s">
        <v>167</v>
      </c>
      <c r="J48" s="277">
        <f>J43+J34+J33+J35+J36+10*LOG(J49)</f>
        <v>-89.253986013866893</v>
      </c>
      <c r="K48" s="123" t="s">
        <v>50</v>
      </c>
      <c r="L48" s="279"/>
      <c r="M48" s="307">
        <f>J43+J34+J33+J35+J36</f>
        <v>-162.59735314642674</v>
      </c>
      <c r="N48" s="307"/>
      <c r="O48" s="275" t="s">
        <v>141</v>
      </c>
      <c r="P48" s="305" t="s">
        <v>167</v>
      </c>
      <c r="Q48" s="277">
        <f>Q43+Q34+Q33+Q35+Q36+10*LOG(Q49)</f>
        <v>-82.094584425109161</v>
      </c>
      <c r="R48" s="123" t="s">
        <v>50</v>
      </c>
      <c r="S48" s="278"/>
      <c r="T48" s="307">
        <f>Q43+Q34+Q33+Q35+Q36</f>
        <v>-158.44735314642674</v>
      </c>
    </row>
    <row r="49" spans="2:20" s="60" customFormat="1">
      <c r="B49" s="288" t="s">
        <v>258</v>
      </c>
      <c r="C49" s="291"/>
      <c r="D49" s="299">
        <f>D31</f>
        <v>20468457.971699942</v>
      </c>
      <c r="E49" s="87" t="s">
        <v>47</v>
      </c>
      <c r="F49" s="278"/>
      <c r="G49" s="278"/>
      <c r="H49" s="288" t="s">
        <v>258</v>
      </c>
      <c r="I49" s="291"/>
      <c r="J49" s="299">
        <f>J31</f>
        <v>21594179.806492455</v>
      </c>
      <c r="K49" s="87" t="s">
        <v>47</v>
      </c>
      <c r="L49" s="279"/>
      <c r="M49" s="278"/>
      <c r="N49" s="278"/>
      <c r="O49" s="288" t="s">
        <v>258</v>
      </c>
      <c r="P49" s="291"/>
      <c r="Q49" s="299">
        <f>Q31</f>
        <v>43179426.728933506</v>
      </c>
      <c r="R49" s="87" t="s">
        <v>47</v>
      </c>
      <c r="S49" s="278"/>
    </row>
    <row r="50" spans="2:20" s="60" customFormat="1" hidden="1">
      <c r="B50" s="285" t="s">
        <v>148</v>
      </c>
      <c r="C50" s="284"/>
      <c r="D50" s="298"/>
      <c r="E50" s="14" t="s">
        <v>3</v>
      </c>
      <c r="F50" s="278"/>
      <c r="G50" s="278"/>
      <c r="H50" s="285" t="s">
        <v>148</v>
      </c>
      <c r="I50" s="284"/>
      <c r="J50" s="298"/>
      <c r="K50" s="14" t="s">
        <v>3</v>
      </c>
      <c r="L50" s="279"/>
      <c r="M50" s="278"/>
      <c r="N50" s="278"/>
      <c r="O50" s="285" t="s">
        <v>148</v>
      </c>
      <c r="P50" s="284"/>
      <c r="Q50" s="298"/>
      <c r="R50" s="14" t="s">
        <v>3</v>
      </c>
      <c r="S50" s="278"/>
    </row>
    <row r="51" spans="2:20" hidden="1">
      <c r="B51" s="285" t="s">
        <v>170</v>
      </c>
      <c r="C51" s="284"/>
      <c r="D51" s="152">
        <f>D52+10*LOG('Req EbNo values'!C12*'Req EbNo values'!D15)</f>
        <v>1.7384747755261869</v>
      </c>
      <c r="E51" s="14" t="s">
        <v>3</v>
      </c>
      <c r="F51" s="182"/>
      <c r="G51" s="182"/>
      <c r="H51" s="285" t="s">
        <v>170</v>
      </c>
      <c r="I51" s="284"/>
      <c r="J51" s="152">
        <f>J52+10*LOG('Req EbNo values'!C2*'Req EbNo values'!D5)</f>
        <v>3.5993873660829996</v>
      </c>
      <c r="K51" s="14" t="s">
        <v>3</v>
      </c>
      <c r="L51" s="182"/>
      <c r="M51" s="182"/>
      <c r="N51" s="182"/>
      <c r="O51" s="285" t="s">
        <v>170</v>
      </c>
      <c r="P51" s="284"/>
      <c r="Q51" s="152">
        <f>Q52+10*LOG('Req EbNo values'!C2*'Req EbNo values'!D8)</f>
        <v>10.759687322722812</v>
      </c>
      <c r="R51" s="14" t="s">
        <v>3</v>
      </c>
      <c r="S51" s="182"/>
    </row>
    <row r="52" spans="2:20">
      <c r="B52" s="185" t="s">
        <v>166</v>
      </c>
      <c r="C52" s="1" t="s">
        <v>167</v>
      </c>
      <c r="D52" s="152">
        <f>D34</f>
        <v>0.48908740944318763</v>
      </c>
      <c r="E52" s="14" t="s">
        <v>3</v>
      </c>
      <c r="F52" s="182"/>
      <c r="G52" s="182"/>
      <c r="H52" s="185" t="s">
        <v>166</v>
      </c>
      <c r="I52" s="1" t="s">
        <v>167</v>
      </c>
      <c r="J52" s="186">
        <f>J34</f>
        <v>2.35</v>
      </c>
      <c r="K52" s="14" t="s">
        <v>3</v>
      </c>
      <c r="L52" s="182"/>
      <c r="M52" s="182"/>
      <c r="N52" s="182"/>
      <c r="O52" s="185" t="s">
        <v>166</v>
      </c>
      <c r="P52" s="1" t="s">
        <v>167</v>
      </c>
      <c r="Q52" s="152">
        <f>Q34</f>
        <v>6.5</v>
      </c>
      <c r="R52" s="14" t="s">
        <v>3</v>
      </c>
      <c r="S52" s="182"/>
    </row>
    <row r="53" spans="2:20" ht="25" thickBot="1">
      <c r="B53" s="275" t="s">
        <v>144</v>
      </c>
      <c r="C53" s="304" t="s">
        <v>164</v>
      </c>
      <c r="D53" s="277">
        <f>D46-174+D34+10*LOG(D49)+D33+D35+D36</f>
        <v>-92.400061335210381</v>
      </c>
      <c r="E53" s="123" t="s">
        <v>50</v>
      </c>
      <c r="F53" s="129">
        <f>D53-D48</f>
        <v>-5.2646853573264707E-2</v>
      </c>
      <c r="G53" s="129">
        <f>D46-174+D34+D33+D35+D36</f>
        <v>-165.51091259055681</v>
      </c>
      <c r="H53" s="275" t="s">
        <v>144</v>
      </c>
      <c r="I53" s="304" t="s">
        <v>164</v>
      </c>
      <c r="J53" s="277">
        <f>J46-174+J34+10*LOG(J49)+J33+J35+J36</f>
        <v>-89.306632867440157</v>
      </c>
      <c r="K53" s="123" t="s">
        <v>50</v>
      </c>
      <c r="L53" s="129">
        <f>J53-J48</f>
        <v>-5.2646853573264707E-2</v>
      </c>
      <c r="M53" s="129">
        <f>J46-174+J34+J33+J35+J36</f>
        <v>-162.65</v>
      </c>
      <c r="N53" s="129"/>
      <c r="O53" s="275" t="s">
        <v>144</v>
      </c>
      <c r="P53" s="304" t="s">
        <v>164</v>
      </c>
      <c r="Q53" s="277">
        <f>Q46-174+Q34+10*LOG(Q49)+Q33+Q35+Q36</f>
        <v>-82.147231278682426</v>
      </c>
      <c r="R53" s="123" t="s">
        <v>50</v>
      </c>
      <c r="S53" s="129">
        <f>Q53-Q48</f>
        <v>-5.2646853573264707E-2</v>
      </c>
      <c r="T53" s="129">
        <f>Q46-174+Q34+Q33+Q35+Q36</f>
        <v>-158.5</v>
      </c>
    </row>
    <row r="54" spans="2:20">
      <c r="B54" s="297"/>
      <c r="C54" s="300"/>
      <c r="D54" s="301"/>
      <c r="E54" s="132"/>
      <c r="F54" s="231"/>
      <c r="G54" s="182"/>
      <c r="H54" s="217"/>
      <c r="I54" s="182"/>
      <c r="J54" s="214"/>
      <c r="K54" s="182"/>
      <c r="L54" s="182"/>
      <c r="M54" s="182"/>
      <c r="N54" s="182"/>
      <c r="O54" s="217"/>
      <c r="P54" s="182"/>
      <c r="Q54" s="214"/>
      <c r="R54" s="182"/>
      <c r="S54" s="182"/>
    </row>
    <row r="55" spans="2:20">
      <c r="B55" s="297"/>
      <c r="C55" s="300"/>
      <c r="D55" s="301"/>
      <c r="E55" s="132"/>
      <c r="F55" s="182"/>
      <c r="G55" s="182"/>
      <c r="H55" s="217"/>
      <c r="I55" s="182"/>
      <c r="J55" s="214"/>
      <c r="K55" s="182"/>
      <c r="L55" s="182"/>
      <c r="M55" s="182"/>
      <c r="N55" s="182"/>
      <c r="O55" s="217"/>
      <c r="P55" s="182"/>
      <c r="Q55" s="214"/>
      <c r="R55" s="182"/>
      <c r="S55" s="182"/>
    </row>
    <row r="56" spans="2:20" ht="13" thickBot="1">
      <c r="B56" s="182"/>
      <c r="C56" s="182"/>
      <c r="E56" s="182"/>
      <c r="F56" s="182"/>
      <c r="G56" s="182"/>
      <c r="H56" s="182"/>
      <c r="I56" s="182"/>
      <c r="J56" s="182"/>
      <c r="K56" s="182"/>
      <c r="L56" s="182"/>
      <c r="M56" s="182"/>
      <c r="N56" s="182"/>
      <c r="O56" s="182"/>
      <c r="P56" s="182"/>
      <c r="Q56" s="182"/>
      <c r="R56" s="182"/>
      <c r="S56" s="182"/>
    </row>
    <row r="57" spans="2:20">
      <c r="B57" s="8" t="s">
        <v>0</v>
      </c>
      <c r="C57" s="9"/>
      <c r="D57" s="171">
        <f>C59-C60+10*LOG(C58)</f>
        <v>45.161499783199062</v>
      </c>
      <c r="E57" s="10" t="s">
        <v>1</v>
      </c>
      <c r="F57" s="18"/>
      <c r="H57" s="182"/>
      <c r="I57" s="182"/>
      <c r="J57" s="216"/>
      <c r="K57" s="182"/>
      <c r="L57" s="182"/>
      <c r="M57" s="182"/>
      <c r="N57" s="182"/>
      <c r="O57" s="182"/>
      <c r="P57" s="182"/>
      <c r="Q57" s="216"/>
      <c r="R57" s="182"/>
      <c r="S57" s="182"/>
    </row>
    <row r="58" spans="2:20">
      <c r="B58" s="11" t="s">
        <v>130</v>
      </c>
      <c r="C58" s="49">
        <v>32</v>
      </c>
      <c r="D58" s="164"/>
      <c r="E58" s="14" t="s">
        <v>10</v>
      </c>
      <c r="F58" s="18"/>
      <c r="H58" s="182"/>
      <c r="I58" s="182"/>
      <c r="J58" s="216"/>
      <c r="K58" s="182"/>
      <c r="L58" s="182"/>
      <c r="M58" s="182"/>
      <c r="N58" s="182"/>
      <c r="O58" s="182"/>
      <c r="P58" s="182"/>
      <c r="Q58" s="216"/>
      <c r="R58" s="182"/>
      <c r="S58" s="182"/>
    </row>
    <row r="59" spans="2:20">
      <c r="B59" s="11" t="s">
        <v>134</v>
      </c>
      <c r="C59" s="20">
        <v>31.11</v>
      </c>
      <c r="D59" s="164"/>
      <c r="E59" s="14" t="s">
        <v>9</v>
      </c>
      <c r="F59" s="18"/>
      <c r="H59" s="182"/>
      <c r="I59" s="182"/>
      <c r="J59" s="228"/>
      <c r="K59" s="182"/>
      <c r="L59" s="182"/>
      <c r="M59" s="182"/>
      <c r="N59" s="182"/>
      <c r="O59" s="182"/>
      <c r="P59" s="182"/>
      <c r="Q59" s="228"/>
      <c r="R59" s="182"/>
      <c r="S59" s="182"/>
    </row>
    <row r="60" spans="2:20">
      <c r="B60" s="11" t="s">
        <v>132</v>
      </c>
      <c r="C60" s="20">
        <v>1</v>
      </c>
      <c r="D60" s="165"/>
      <c r="E60" s="14" t="s">
        <v>3</v>
      </c>
      <c r="F60" s="18"/>
      <c r="H60" s="182"/>
      <c r="I60" s="182"/>
      <c r="J60" s="216"/>
      <c r="K60" s="182"/>
      <c r="L60" s="182"/>
      <c r="M60" s="182"/>
      <c r="N60" s="182"/>
      <c r="O60" s="182"/>
      <c r="P60" s="182"/>
      <c r="Q60" s="216"/>
      <c r="R60" s="182"/>
      <c r="S60" s="182"/>
    </row>
    <row r="61" spans="2:20">
      <c r="B61" s="11" t="s">
        <v>83</v>
      </c>
      <c r="C61" s="20"/>
      <c r="D61" s="165">
        <v>3</v>
      </c>
      <c r="E61" s="14"/>
      <c r="F61" s="18"/>
      <c r="H61" s="182"/>
      <c r="I61" s="182"/>
      <c r="J61" s="216"/>
      <c r="K61" s="182"/>
      <c r="L61" s="182"/>
      <c r="M61" s="182"/>
      <c r="N61" s="182"/>
      <c r="O61" s="182"/>
      <c r="P61" s="182"/>
      <c r="Q61" s="216"/>
      <c r="R61" s="182"/>
      <c r="S61" s="182"/>
    </row>
    <row r="62" spans="2:20">
      <c r="B62" s="11" t="s">
        <v>2</v>
      </c>
      <c r="C62" s="12"/>
      <c r="D62" s="151">
        <f>20*LOG10(4*PI()*D64*1.852*1000/(300000000/D63))</f>
        <v>146.65985158214087</v>
      </c>
      <c r="E62" s="14" t="s">
        <v>3</v>
      </c>
      <c r="F62" s="18"/>
      <c r="H62" s="182"/>
      <c r="I62" s="182"/>
      <c r="J62" s="216"/>
      <c r="K62" s="182"/>
      <c r="L62" s="182"/>
      <c r="M62" s="182"/>
      <c r="N62" s="182"/>
      <c r="O62" s="182"/>
      <c r="P62" s="182"/>
      <c r="Q62" s="216"/>
      <c r="R62" s="182"/>
      <c r="S62" s="182"/>
    </row>
    <row r="63" spans="2:20">
      <c r="B63" s="11"/>
      <c r="C63" s="12" t="s">
        <v>12</v>
      </c>
      <c r="D63" s="159">
        <f>1850000000</f>
        <v>1850000000</v>
      </c>
      <c r="E63" s="14"/>
      <c r="F63" s="18"/>
      <c r="H63" s="182"/>
      <c r="I63" s="182"/>
      <c r="J63" s="229"/>
      <c r="K63" s="182"/>
      <c r="L63" s="182"/>
      <c r="M63" s="182"/>
      <c r="N63" s="182"/>
      <c r="O63" s="182"/>
      <c r="P63" s="182"/>
      <c r="Q63" s="229"/>
      <c r="R63" s="182"/>
      <c r="S63" s="182"/>
    </row>
    <row r="64" spans="2:20">
      <c r="B64" s="11"/>
      <c r="C64" s="12" t="s">
        <v>13</v>
      </c>
      <c r="D64" s="170">
        <v>150</v>
      </c>
      <c r="E64" s="14" t="s">
        <v>61</v>
      </c>
      <c r="F64" s="18"/>
      <c r="H64" s="182"/>
      <c r="I64" s="182"/>
      <c r="J64" s="230"/>
      <c r="K64" s="182"/>
      <c r="L64" s="182"/>
      <c r="M64" s="182"/>
      <c r="N64" s="182"/>
      <c r="O64" s="182"/>
      <c r="P64" s="182"/>
      <c r="Q64" s="230"/>
      <c r="R64" s="182"/>
      <c r="S64" s="182"/>
    </row>
    <row r="65" spans="2:19">
      <c r="B65" s="11" t="s">
        <v>4</v>
      </c>
      <c r="C65" s="12"/>
      <c r="D65" s="151">
        <f>10*LOG(1.38*10^-23)</f>
        <v>-228.60120913598763</v>
      </c>
      <c r="E65" s="14"/>
      <c r="F65" s="18"/>
      <c r="H65" s="217"/>
      <c r="I65" s="217"/>
      <c r="J65" s="214"/>
      <c r="K65" s="182"/>
      <c r="L65" s="182"/>
      <c r="M65" s="231"/>
      <c r="N65" s="231"/>
      <c r="O65" s="217"/>
      <c r="P65" s="217"/>
      <c r="Q65" s="214"/>
      <c r="R65" s="182"/>
      <c r="S65" s="182"/>
    </row>
    <row r="66" spans="2:19">
      <c r="B66" s="11" t="s">
        <v>5</v>
      </c>
      <c r="C66" s="12"/>
      <c r="D66" s="151">
        <v>1</v>
      </c>
      <c r="E66" s="14" t="s">
        <v>3</v>
      </c>
      <c r="F66" s="18"/>
      <c r="H66" s="182"/>
      <c r="I66" s="182"/>
      <c r="J66" s="182"/>
      <c r="K66" s="182"/>
      <c r="L66" s="182"/>
      <c r="M66" s="182"/>
      <c r="N66" s="182"/>
      <c r="O66" s="182"/>
      <c r="P66" s="182"/>
      <c r="Q66" s="182"/>
      <c r="R66" s="182"/>
      <c r="S66" s="182"/>
    </row>
    <row r="67" spans="2:19">
      <c r="B67" s="11" t="s">
        <v>137</v>
      </c>
      <c r="C67" s="12"/>
      <c r="D67" s="150">
        <f>C70-10*LOG10(C78)-C77-C73</f>
        <v>-38.176626832562818</v>
      </c>
      <c r="E67" s="14" t="s">
        <v>8</v>
      </c>
      <c r="F67" s="18"/>
      <c r="H67" s="182"/>
      <c r="I67" s="182"/>
      <c r="J67" s="182"/>
      <c r="K67" s="182"/>
      <c r="L67" s="182"/>
      <c r="M67" s="182"/>
      <c r="N67" s="182"/>
      <c r="O67" s="182"/>
      <c r="P67" s="182"/>
      <c r="Q67" s="182"/>
      <c r="R67" s="182"/>
      <c r="S67" s="182"/>
    </row>
    <row r="68" spans="2:19">
      <c r="B68" s="11" t="s">
        <v>91</v>
      </c>
      <c r="C68" s="93" t="s">
        <v>84</v>
      </c>
      <c r="D68" s="151" t="s">
        <v>84</v>
      </c>
      <c r="E68" s="14" t="s">
        <v>17</v>
      </c>
      <c r="F68" s="18"/>
    </row>
    <row r="69" spans="2:19">
      <c r="B69" s="11" t="s">
        <v>92</v>
      </c>
      <c r="C69" s="94" t="s">
        <v>93</v>
      </c>
      <c r="D69" s="151"/>
      <c r="E69" s="14" t="s">
        <v>19</v>
      </c>
      <c r="F69" s="18"/>
    </row>
    <row r="70" spans="2:19">
      <c r="B70" s="11" t="s">
        <v>96</v>
      </c>
      <c r="C70" s="35">
        <v>-5</v>
      </c>
      <c r="D70" s="151"/>
      <c r="E70" s="14" t="s">
        <v>9</v>
      </c>
      <c r="F70" s="29">
        <f>10^(C70/10)</f>
        <v>0.31622776601683794</v>
      </c>
      <c r="G70" s="29"/>
    </row>
    <row r="71" spans="2:19" hidden="1">
      <c r="B71" s="11" t="s">
        <v>86</v>
      </c>
      <c r="C71" s="12">
        <v>3</v>
      </c>
      <c r="D71" s="151"/>
      <c r="E71" s="14" t="s">
        <v>3</v>
      </c>
      <c r="F71" s="29">
        <f>10^(C71/10)</f>
        <v>1.9952623149688797</v>
      </c>
      <c r="G71" s="29"/>
    </row>
    <row r="72" spans="2:19" hidden="1">
      <c r="B72" s="11" t="s">
        <v>116</v>
      </c>
      <c r="C72" s="12">
        <v>25</v>
      </c>
      <c r="D72" s="151"/>
      <c r="E72" s="14" t="s">
        <v>3</v>
      </c>
      <c r="F72" s="63">
        <f>10^(C72/10)</f>
        <v>316.22776601683825</v>
      </c>
      <c r="G72" s="29"/>
    </row>
    <row r="73" spans="2:19">
      <c r="B73" s="11" t="s">
        <v>115</v>
      </c>
      <c r="C73" s="12">
        <v>1.5</v>
      </c>
      <c r="D73" s="151"/>
      <c r="E73" s="14" t="s">
        <v>3</v>
      </c>
      <c r="F73" s="29">
        <f>10^(-C73/10)</f>
        <v>0.70794578438413791</v>
      </c>
      <c r="G73" s="29"/>
    </row>
    <row r="74" spans="2:19">
      <c r="B74" s="11" t="s">
        <v>16</v>
      </c>
      <c r="C74" s="12">
        <v>150</v>
      </c>
      <c r="D74" s="151"/>
      <c r="E74" s="14" t="s">
        <v>11</v>
      </c>
      <c r="F74" s="29"/>
      <c r="G74" s="29"/>
    </row>
    <row r="75" spans="2:19">
      <c r="B75" s="11" t="s">
        <v>90</v>
      </c>
      <c r="C75" s="12">
        <v>300</v>
      </c>
      <c r="D75" s="151"/>
      <c r="E75" s="14" t="s">
        <v>11</v>
      </c>
      <c r="F75" s="29"/>
      <c r="G75" s="29"/>
    </row>
    <row r="76" spans="2:19">
      <c r="B76" s="11" t="s">
        <v>117</v>
      </c>
      <c r="C76" s="35">
        <v>350</v>
      </c>
      <c r="D76" s="151"/>
      <c r="E76" s="14" t="s">
        <v>11</v>
      </c>
      <c r="F76" s="29">
        <f>10*LOG(1+C76/C75)</f>
        <v>3.3579210192319318</v>
      </c>
      <c r="G76" s="29">
        <f>10^(F76/10)</f>
        <v>2.1666666666666674</v>
      </c>
    </row>
    <row r="77" spans="2:19">
      <c r="B77" s="11" t="s">
        <v>118</v>
      </c>
      <c r="C77" s="12">
        <v>2</v>
      </c>
      <c r="D77" s="151"/>
      <c r="E77" s="14" t="s">
        <v>3</v>
      </c>
      <c r="F77" s="29">
        <f>10^(-C77/10)</f>
        <v>0.63095734448019325</v>
      </c>
      <c r="G77" s="29"/>
    </row>
    <row r="78" spans="2:19">
      <c r="B78" s="11" t="s">
        <v>87</v>
      </c>
      <c r="C78" s="35">
        <f>C76*(1/F77-1)*(F77*F73)+(C74/2+C75/2)*(F77*F73)+C75*(1/F73-1)*F73+C75*(F83-1)</f>
        <v>928.24513825085035</v>
      </c>
      <c r="D78" s="151"/>
      <c r="E78" s="14" t="s">
        <v>11</v>
      </c>
      <c r="F78" s="29">
        <f>10*LOG(1+C78/C75)</f>
        <v>6.1216379902755369</v>
      </c>
      <c r="G78" s="29">
        <f>10^(F78/10)</f>
        <v>4.0941504608361692</v>
      </c>
    </row>
    <row r="79" spans="2:19">
      <c r="B79" s="11" t="s">
        <v>143</v>
      </c>
      <c r="C79" s="1"/>
      <c r="D79" s="151">
        <v>1</v>
      </c>
      <c r="E79" s="6" t="s">
        <v>3</v>
      </c>
      <c r="F79" s="29">
        <f>10^(-D79/10)</f>
        <v>0.79432823472428149</v>
      </c>
      <c r="G79" s="29"/>
    </row>
    <row r="80" spans="2:19">
      <c r="B80" s="11" t="s">
        <v>88</v>
      </c>
      <c r="C80" s="1"/>
      <c r="D80" s="151"/>
      <c r="E80" s="6" t="s">
        <v>3</v>
      </c>
      <c r="F80" s="29"/>
      <c r="G80" s="29"/>
    </row>
    <row r="81" spans="2:7">
      <c r="B81" s="11" t="s">
        <v>89</v>
      </c>
      <c r="C81" s="12"/>
      <c r="D81" s="151">
        <v>3</v>
      </c>
      <c r="E81" s="14" t="s">
        <v>3</v>
      </c>
      <c r="F81" s="29">
        <f>10^(-D81/10)</f>
        <v>0.50118723362727224</v>
      </c>
      <c r="G81" s="29"/>
    </row>
    <row r="82" spans="2:7" hidden="1">
      <c r="B82" s="11" t="s">
        <v>112</v>
      </c>
      <c r="C82" s="12"/>
      <c r="D82" s="150">
        <v>0.3</v>
      </c>
      <c r="E82" s="14" t="s">
        <v>3</v>
      </c>
      <c r="F82" s="29">
        <f>10^(-D82/10)</f>
        <v>0.93325430079699101</v>
      </c>
      <c r="G82" s="29"/>
    </row>
    <row r="83" spans="2:7">
      <c r="B83" s="11" t="s">
        <v>110</v>
      </c>
      <c r="C83" s="12"/>
      <c r="D83" s="170">
        <v>5</v>
      </c>
      <c r="E83" s="14" t="s">
        <v>3</v>
      </c>
      <c r="F83" s="29">
        <f>10^(D83/10)</f>
        <v>3.1622776601683795</v>
      </c>
      <c r="G83" s="29"/>
    </row>
    <row r="84" spans="2:7" ht="26" customHeight="1">
      <c r="B84" s="179"/>
      <c r="C84" s="175" t="s">
        <v>261</v>
      </c>
      <c r="D84" s="227">
        <f>'TA -&gt; GS (SC-SOQPSK)'!K31</f>
        <v>60702561.778178506</v>
      </c>
      <c r="E84" s="226" t="s">
        <v>47</v>
      </c>
      <c r="F84" s="111"/>
      <c r="G84" s="111"/>
    </row>
    <row r="85" spans="2:7">
      <c r="B85" s="166" t="s">
        <v>258</v>
      </c>
      <c r="C85" s="12"/>
      <c r="D85" s="151">
        <f>10*LOG10(D84)</f>
        <v>77.832070196197407</v>
      </c>
      <c r="E85" s="14" t="s">
        <v>7</v>
      </c>
      <c r="F85" s="18"/>
    </row>
    <row r="86" spans="2:7">
      <c r="B86" s="185" t="s">
        <v>100</v>
      </c>
      <c r="C86" s="12"/>
      <c r="D86" s="151">
        <v>0</v>
      </c>
      <c r="E86" s="14" t="s">
        <v>3</v>
      </c>
      <c r="F86" s="18"/>
    </row>
    <row r="87" spans="2:7">
      <c r="B87" s="166" t="s">
        <v>166</v>
      </c>
      <c r="C87" s="12" t="s">
        <v>97</v>
      </c>
      <c r="D87" s="149">
        <f>D97-10*LOG(D84/D100)</f>
        <v>0.48908740944318763</v>
      </c>
      <c r="E87" s="14" t="s">
        <v>3</v>
      </c>
      <c r="F87" s="18"/>
    </row>
    <row r="88" spans="2:7">
      <c r="B88" s="11" t="s">
        <v>113</v>
      </c>
      <c r="C88" s="12"/>
      <c r="D88" s="151">
        <v>2</v>
      </c>
      <c r="E88" s="14" t="s">
        <v>3</v>
      </c>
      <c r="F88" s="18"/>
    </row>
    <row r="89" spans="2:7">
      <c r="B89" s="167" t="s">
        <v>85</v>
      </c>
      <c r="C89" s="12"/>
      <c r="D89" s="151">
        <v>1</v>
      </c>
      <c r="E89" s="14" t="s">
        <v>3</v>
      </c>
      <c r="F89" s="18"/>
    </row>
    <row r="90" spans="2:7" ht="13" thickBot="1">
      <c r="B90" s="168" t="s">
        <v>49</v>
      </c>
      <c r="C90" s="16"/>
      <c r="D90" s="163">
        <f>D57-D61-D62-D65-D66+D67-D79-D80-D81-D85-D86-D87-D88-D89</f>
        <v>-0.39492710115759255</v>
      </c>
      <c r="E90" s="17" t="s">
        <v>3</v>
      </c>
      <c r="F90" s="57">
        <f>D95-D101</f>
        <v>-0.37215625815565545</v>
      </c>
    </row>
    <row r="91" spans="2:7">
      <c r="D91" s="48"/>
    </row>
    <row r="93" spans="2:7" ht="13" thickBot="1"/>
    <row r="94" spans="2:7">
      <c r="B94" s="2" t="s">
        <v>139</v>
      </c>
      <c r="C94" s="3"/>
      <c r="D94" s="222">
        <f>10*LOG(1000*10^(D57/10))-D61-D62-D66</f>
        <v>-75.498351798941798</v>
      </c>
      <c r="E94" s="4" t="s">
        <v>50</v>
      </c>
      <c r="F94" s="182"/>
      <c r="G94" s="182"/>
    </row>
    <row r="95" spans="2:7">
      <c r="B95" s="223" t="s">
        <v>169</v>
      </c>
      <c r="C95" s="1"/>
      <c r="D95" s="153">
        <f>D94+C70-D79-D81-C77-C73</f>
        <v>-87.998351798941798</v>
      </c>
      <c r="E95" s="6" t="s">
        <v>126</v>
      </c>
      <c r="F95" s="182"/>
      <c r="G95" s="182"/>
    </row>
    <row r="96" spans="2:7">
      <c r="B96" s="5" t="s">
        <v>135</v>
      </c>
      <c r="C96" s="1"/>
      <c r="D96" s="150">
        <f>-174+10*LOG(C78/290)</f>
        <v>-168.94735314642674</v>
      </c>
      <c r="E96" s="6" t="s">
        <v>107</v>
      </c>
      <c r="F96" s="182"/>
      <c r="G96" s="182"/>
    </row>
    <row r="97" spans="2:7">
      <c r="B97" s="5" t="s">
        <v>165</v>
      </c>
      <c r="C97" s="1" t="s">
        <v>167</v>
      </c>
      <c r="D97" s="150">
        <f>'Req EbNo values'!C16</f>
        <v>2.25</v>
      </c>
      <c r="E97" s="6" t="s">
        <v>60</v>
      </c>
      <c r="F97" s="182"/>
      <c r="G97" s="182"/>
    </row>
    <row r="98" spans="2:7" hidden="1">
      <c r="B98" s="223" t="s">
        <v>111</v>
      </c>
      <c r="C98" s="1"/>
      <c r="D98" s="153" t="e">
        <f>10*LOG(F72*F73*F82*(G78-(1+(B76/B75)*(1/F77-1))-(1+(B75/B75)*(1/F73-1))-(F71-1)/F73-((1+(B75/B75)*(1/F82-1))-1)/(F73*F72))+1)</f>
        <v>#VALUE!</v>
      </c>
      <c r="E98" s="6" t="s">
        <v>3</v>
      </c>
      <c r="F98" s="182"/>
      <c r="G98" s="182"/>
    </row>
    <row r="99" spans="2:7">
      <c r="B99" s="5" t="s">
        <v>150</v>
      </c>
      <c r="C99" s="220"/>
      <c r="D99" s="151">
        <f>D83</f>
        <v>5</v>
      </c>
      <c r="E99" s="6" t="s">
        <v>3</v>
      </c>
      <c r="F99" s="182"/>
      <c r="G99" s="182"/>
    </row>
    <row r="100" spans="2:7" hidden="1">
      <c r="B100" s="5" t="s">
        <v>168</v>
      </c>
      <c r="C100" s="292"/>
      <c r="D100" s="151">
        <f>'TA -&gt; GS (SC-SOQPSK)'!K47</f>
        <v>40468374.51878567</v>
      </c>
      <c r="E100" s="6" t="s">
        <v>47</v>
      </c>
      <c r="F100" s="182"/>
      <c r="G100" s="182"/>
    </row>
    <row r="101" spans="2:7" ht="25" thickBot="1">
      <c r="B101" s="275" t="s">
        <v>141</v>
      </c>
      <c r="C101" s="305" t="s">
        <v>167</v>
      </c>
      <c r="D101" s="277">
        <f>D96+D87+D86+D88+D89+10*LOG(D102)</f>
        <v>-87.626195540786142</v>
      </c>
      <c r="E101" s="123" t="s">
        <v>50</v>
      </c>
      <c r="F101" s="182"/>
      <c r="G101" s="307">
        <f>D96+D87+D86+D88+D89</f>
        <v>-165.45826573698355</v>
      </c>
    </row>
    <row r="102" spans="2:7">
      <c r="B102" s="288" t="s">
        <v>258</v>
      </c>
      <c r="C102" s="291"/>
      <c r="D102" s="299">
        <f>D84</f>
        <v>60702561.778178506</v>
      </c>
      <c r="E102" s="87" t="s">
        <v>47</v>
      </c>
      <c r="F102" s="182"/>
      <c r="G102" s="182"/>
    </row>
    <row r="103" spans="2:7" s="60" customFormat="1" hidden="1">
      <c r="B103" s="285" t="s">
        <v>148</v>
      </c>
      <c r="C103" s="284"/>
      <c r="D103" s="298"/>
      <c r="E103" s="14" t="s">
        <v>3</v>
      </c>
      <c r="F103" s="278"/>
      <c r="G103" s="278"/>
    </row>
    <row r="104" spans="2:7" hidden="1">
      <c r="B104" s="285" t="s">
        <v>170</v>
      </c>
      <c r="C104" s="284"/>
      <c r="D104" s="152">
        <f>D105+10*LOG('Req EbNo values'!C12*'Req EbNo values'!D15)</f>
        <v>1.7384747755261869</v>
      </c>
      <c r="E104" s="14" t="s">
        <v>3</v>
      </c>
    </row>
    <row r="105" spans="2:7">
      <c r="B105" s="185" t="s">
        <v>166</v>
      </c>
      <c r="C105" s="1" t="s">
        <v>167</v>
      </c>
      <c r="D105" s="152">
        <f>D87</f>
        <v>0.48908740944318763</v>
      </c>
      <c r="E105" s="14" t="s">
        <v>3</v>
      </c>
    </row>
    <row r="106" spans="2:7" ht="25" thickBot="1">
      <c r="B106" s="275" t="s">
        <v>144</v>
      </c>
      <c r="C106" s="304" t="s">
        <v>164</v>
      </c>
      <c r="D106" s="277">
        <f>D99-174+D87+10*LOG(D102)+D86+D88+D89</f>
        <v>-87.678842394359407</v>
      </c>
      <c r="E106" s="123" t="s">
        <v>50</v>
      </c>
      <c r="F106" s="129">
        <f>D106-D101</f>
        <v>-5.2646853573264707E-2</v>
      </c>
      <c r="G106" s="129">
        <f>D99-174+D87+D86+D88+D89</f>
        <v>-165.51091259055681</v>
      </c>
    </row>
  </sheetData>
  <phoneticPr fontId="2" type="noConversion"/>
  <pageMargins left="0.75" right="0.75" top="1" bottom="1" header="0.5" footer="0.5"/>
  <pageSetup orientation="portrait"/>
  <headerFooter alignWithMargins="0"/>
  <legacy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169"/>
  <sheetViews>
    <sheetView zoomScale="75" workbookViewId="0">
      <selection activeCell="D37" sqref="D37"/>
    </sheetView>
  </sheetViews>
  <sheetFormatPr baseColWidth="10" defaultColWidth="8.83203125" defaultRowHeight="12" x14ac:dyDescent="0"/>
  <cols>
    <col min="1" max="1" width="27" customWidth="1"/>
    <col min="2" max="2" width="22" customWidth="1"/>
    <col min="3" max="3" width="9.6640625" hidden="1" customWidth="1"/>
    <col min="4" max="4" width="9.6640625" customWidth="1"/>
    <col min="5" max="5" width="8.6640625" customWidth="1"/>
    <col min="6" max="6" width="9.5" customWidth="1"/>
  </cols>
  <sheetData>
    <row r="2" spans="1:7" ht="13" thickBot="1">
      <c r="A2" t="s">
        <v>128</v>
      </c>
      <c r="B2" s="29"/>
    </row>
    <row r="3" spans="1:7">
      <c r="A3" s="89"/>
      <c r="B3" s="90"/>
      <c r="C3" s="91" t="s">
        <v>79</v>
      </c>
      <c r="D3" s="154" t="s">
        <v>80</v>
      </c>
      <c r="E3" s="92"/>
      <c r="F3" s="19"/>
    </row>
    <row r="4" spans="1:7">
      <c r="A4" s="88" t="s">
        <v>0</v>
      </c>
      <c r="B4" s="54"/>
      <c r="C4" s="86">
        <f>B6+10*LOG10(B5)</f>
        <v>1.9897000433601884</v>
      </c>
      <c r="D4" s="213">
        <f>B6-B7+10*LOG10(B5)</f>
        <v>-1.5102999566398116</v>
      </c>
      <c r="E4" s="87" t="s">
        <v>1</v>
      </c>
      <c r="F4" s="18"/>
      <c r="G4" s="61"/>
    </row>
    <row r="5" spans="1:7">
      <c r="A5" s="11" t="s">
        <v>129</v>
      </c>
      <c r="B5" s="49">
        <v>5</v>
      </c>
      <c r="C5" s="13"/>
      <c r="D5" s="156"/>
      <c r="E5" s="14" t="s">
        <v>10</v>
      </c>
      <c r="F5" s="18"/>
      <c r="G5" s="48"/>
    </row>
    <row r="6" spans="1:7">
      <c r="A6" s="11" t="s">
        <v>133</v>
      </c>
      <c r="B6" s="20">
        <v>-5</v>
      </c>
      <c r="C6" s="13"/>
      <c r="D6" s="156"/>
      <c r="E6" s="14" t="s">
        <v>9</v>
      </c>
      <c r="F6" s="18"/>
    </row>
    <row r="7" spans="1:7">
      <c r="A7" s="11" t="s">
        <v>140</v>
      </c>
      <c r="B7" s="20">
        <v>3.5</v>
      </c>
      <c r="C7" s="13"/>
      <c r="D7" s="156"/>
      <c r="E7" s="14" t="s">
        <v>3</v>
      </c>
      <c r="F7" s="18"/>
    </row>
    <row r="8" spans="1:7">
      <c r="A8" s="11" t="s">
        <v>82</v>
      </c>
      <c r="B8" s="20"/>
      <c r="C8" s="65">
        <v>3</v>
      </c>
      <c r="D8" s="157">
        <v>3</v>
      </c>
      <c r="E8" s="14" t="s">
        <v>3</v>
      </c>
      <c r="F8" s="18"/>
    </row>
    <row r="9" spans="1:7">
      <c r="A9" s="11" t="s">
        <v>2</v>
      </c>
      <c r="B9" s="12"/>
      <c r="C9" s="15">
        <f>20*LOG10(4*PI()*C11*1.852*1000/(300000000/C10))</f>
        <v>137.11742648774765</v>
      </c>
      <c r="D9" s="161">
        <f>20*LOG10(4*PI()*D11*1.852*1000/(300000000/D10))</f>
        <v>138.25552351447709</v>
      </c>
      <c r="E9" s="14" t="s">
        <v>3</v>
      </c>
      <c r="F9" s="18"/>
    </row>
    <row r="10" spans="1:7">
      <c r="A10" s="11"/>
      <c r="B10" s="12" t="s">
        <v>12</v>
      </c>
      <c r="C10" s="30">
        <f>1850000000</f>
        <v>1850000000</v>
      </c>
      <c r="D10" s="159">
        <f>1850000000</f>
        <v>1850000000</v>
      </c>
      <c r="E10" s="14" t="s">
        <v>14</v>
      </c>
      <c r="F10" s="18"/>
    </row>
    <row r="11" spans="1:7">
      <c r="A11" s="11"/>
      <c r="B11" s="12" t="s">
        <v>13</v>
      </c>
      <c r="C11" s="44">
        <v>50</v>
      </c>
      <c r="D11" s="160">
        <v>57</v>
      </c>
      <c r="E11" s="14" t="s">
        <v>61</v>
      </c>
      <c r="F11" s="18"/>
    </row>
    <row r="12" spans="1:7">
      <c r="A12" s="11" t="s">
        <v>4</v>
      </c>
      <c r="B12" s="12"/>
      <c r="C12" s="15">
        <v>-228.6</v>
      </c>
      <c r="D12" s="151">
        <f>10*LOG(1.38*10^-23)</f>
        <v>-228.60120913598763</v>
      </c>
      <c r="E12" s="14"/>
      <c r="F12" s="18"/>
    </row>
    <row r="13" spans="1:7">
      <c r="A13" s="11" t="s">
        <v>5</v>
      </c>
      <c r="B13" s="12"/>
      <c r="C13" s="15">
        <v>1</v>
      </c>
      <c r="D13" s="151">
        <v>1</v>
      </c>
      <c r="E13" s="14" t="s">
        <v>3</v>
      </c>
      <c r="F13" s="18"/>
    </row>
    <row r="14" spans="1:7">
      <c r="A14" s="11" t="s">
        <v>119</v>
      </c>
      <c r="B14" s="12"/>
      <c r="C14" s="15">
        <f>B17-10*LOG10(B25)</f>
        <v>7.4504220701812507</v>
      </c>
      <c r="D14" s="161">
        <f>B17-10*LOG10(B25)-B20-B24</f>
        <v>6.1504220701812509</v>
      </c>
      <c r="E14" s="14" t="s">
        <v>8</v>
      </c>
      <c r="F14" s="18"/>
    </row>
    <row r="15" spans="1:7">
      <c r="A15" s="11" t="s">
        <v>120</v>
      </c>
      <c r="B15" s="45">
        <v>2.5</v>
      </c>
      <c r="C15" s="15"/>
      <c r="D15" s="158"/>
      <c r="E15" s="14" t="s">
        <v>17</v>
      </c>
      <c r="F15" s="18"/>
    </row>
    <row r="16" spans="1:7">
      <c r="A16" s="11" t="s">
        <v>121</v>
      </c>
      <c r="B16" s="22">
        <v>0.55000000000000004</v>
      </c>
      <c r="C16" s="15"/>
      <c r="D16" s="158"/>
      <c r="E16" s="14" t="s">
        <v>19</v>
      </c>
      <c r="F16" s="18"/>
    </row>
    <row r="17" spans="1:8">
      <c r="A17" s="11" t="s">
        <v>122</v>
      </c>
      <c r="B17" s="23">
        <f>10*LOG10(B16*(PI()*B15/(300000000/D10))^2)</f>
        <v>31.106433995932896</v>
      </c>
      <c r="C17" s="15"/>
      <c r="D17" s="158"/>
      <c r="E17" s="14" t="s">
        <v>9</v>
      </c>
      <c r="F17" s="29">
        <f>10^(B17/10)</f>
        <v>1290.159485034764</v>
      </c>
      <c r="G17" s="29"/>
    </row>
    <row r="18" spans="1:8">
      <c r="A18" s="11" t="s">
        <v>15</v>
      </c>
      <c r="B18" s="12">
        <v>0.3</v>
      </c>
      <c r="C18" s="15"/>
      <c r="D18" s="158"/>
      <c r="E18" s="14" t="s">
        <v>3</v>
      </c>
      <c r="F18" s="29">
        <f>10^(B18/10)</f>
        <v>1.0715193052376064</v>
      </c>
      <c r="G18" s="29"/>
    </row>
    <row r="19" spans="1:8">
      <c r="A19" s="11" t="s">
        <v>108</v>
      </c>
      <c r="B19" s="12">
        <v>40</v>
      </c>
      <c r="C19" s="15"/>
      <c r="D19" s="158"/>
      <c r="E19" s="14" t="s">
        <v>3</v>
      </c>
      <c r="F19" s="63">
        <f>10^(B19/10)</f>
        <v>10000</v>
      </c>
      <c r="G19" s="29"/>
    </row>
    <row r="20" spans="1:8">
      <c r="A20" s="11" t="s">
        <v>114</v>
      </c>
      <c r="B20" s="12">
        <v>1</v>
      </c>
      <c r="C20" s="15"/>
      <c r="D20" s="158"/>
      <c r="E20" s="14" t="s">
        <v>3</v>
      </c>
      <c r="F20" s="29">
        <f>10^(-B20/10)</f>
        <v>0.79432823472428149</v>
      </c>
      <c r="G20" s="29"/>
    </row>
    <row r="21" spans="1:8">
      <c r="A21" s="11" t="s">
        <v>16</v>
      </c>
      <c r="B21" s="12">
        <v>70</v>
      </c>
      <c r="C21" s="15"/>
      <c r="D21" s="158"/>
      <c r="E21" s="14" t="s">
        <v>18</v>
      </c>
      <c r="F21" s="29"/>
      <c r="G21" s="29"/>
    </row>
    <row r="22" spans="1:8">
      <c r="A22" s="11" t="s">
        <v>109</v>
      </c>
      <c r="B22" s="12">
        <f>290</f>
        <v>290</v>
      </c>
      <c r="C22" s="15"/>
      <c r="D22" s="158"/>
      <c r="E22" s="14" t="s">
        <v>11</v>
      </c>
      <c r="F22" s="29"/>
      <c r="G22" s="29"/>
    </row>
    <row r="23" spans="1:8">
      <c r="A23" s="11" t="s">
        <v>123</v>
      </c>
      <c r="B23" s="35">
        <f>(150-32)*5/9+273.15</f>
        <v>338.70555555555552</v>
      </c>
      <c r="C23" s="15"/>
      <c r="D23" s="158"/>
      <c r="E23" s="14" t="s">
        <v>11</v>
      </c>
      <c r="F23" s="29">
        <f>10*LOG(1+B23/B22)</f>
        <v>3.3604930011062621</v>
      </c>
      <c r="G23" s="29">
        <f>10^(F23/10)</f>
        <v>2.1679501915708816</v>
      </c>
    </row>
    <row r="24" spans="1:8">
      <c r="A24" s="11" t="s">
        <v>124</v>
      </c>
      <c r="B24" s="12">
        <v>0.3</v>
      </c>
      <c r="C24" s="15"/>
      <c r="D24" s="158"/>
      <c r="E24" s="14" t="s">
        <v>3</v>
      </c>
      <c r="F24" s="29">
        <f>10^(-B24/10)</f>
        <v>0.93325430079699101</v>
      </c>
      <c r="G24" s="29"/>
    </row>
    <row r="25" spans="1:8">
      <c r="A25" s="11" t="s">
        <v>125</v>
      </c>
      <c r="B25" s="35">
        <f>B23*(1/F24-1)*(F24*F20)+(B21/2+B22/2)*(F24*F20)+B22*(1/F20-1)*F20+B22*(F18-1)+B22*(1/F29-1)/F19+B22*(F30-1)/(F19*F29)</f>
        <v>232.06048339844958</v>
      </c>
      <c r="C25" s="15"/>
      <c r="D25" s="158"/>
      <c r="E25" s="14" t="s">
        <v>11</v>
      </c>
      <c r="F25" s="29">
        <f>10*LOG(1+B25/B22)</f>
        <v>2.5532282327287668</v>
      </c>
      <c r="G25" s="29">
        <f>10^(F25/10)</f>
        <v>1.8002085634429299</v>
      </c>
    </row>
    <row r="26" spans="1:8">
      <c r="A26" s="11" t="s">
        <v>145</v>
      </c>
      <c r="B26" s="12"/>
      <c r="C26" s="15">
        <v>1</v>
      </c>
      <c r="D26" s="151">
        <v>1</v>
      </c>
      <c r="E26" s="6" t="s">
        <v>3</v>
      </c>
      <c r="F26" s="29">
        <f>10^(-D26/10)</f>
        <v>0.79432823472428149</v>
      </c>
      <c r="G26" s="29"/>
    </row>
    <row r="27" spans="1:8">
      <c r="A27" s="11" t="s">
        <v>146</v>
      </c>
      <c r="B27" s="12"/>
      <c r="C27" s="15"/>
      <c r="D27" s="158"/>
      <c r="E27" s="14"/>
      <c r="F27" s="29"/>
      <c r="G27" s="29"/>
      <c r="H27" s="7"/>
    </row>
    <row r="28" spans="1:8">
      <c r="A28" s="11" t="s">
        <v>147</v>
      </c>
      <c r="B28" s="12"/>
      <c r="C28" s="15">
        <v>3</v>
      </c>
      <c r="D28" s="151">
        <v>3</v>
      </c>
      <c r="E28" s="14" t="s">
        <v>3</v>
      </c>
      <c r="F28" s="29">
        <f>10^(-D28/10)</f>
        <v>0.50118723362727224</v>
      </c>
      <c r="G28" s="29"/>
      <c r="H28" s="7"/>
    </row>
    <row r="29" spans="1:8">
      <c r="A29" s="11" t="s">
        <v>112</v>
      </c>
      <c r="B29" s="12"/>
      <c r="C29" s="15"/>
      <c r="D29" s="161">
        <v>0.3</v>
      </c>
      <c r="E29" s="14" t="s">
        <v>3</v>
      </c>
      <c r="F29" s="29">
        <f>10^(-D29/10)</f>
        <v>0.93325430079699101</v>
      </c>
      <c r="G29" s="29"/>
      <c r="H29" s="7"/>
    </row>
    <row r="30" spans="1:8">
      <c r="A30" s="11" t="s">
        <v>110</v>
      </c>
      <c r="B30" s="12"/>
      <c r="C30" s="15"/>
      <c r="D30" s="169">
        <v>10</v>
      </c>
      <c r="E30" s="14" t="s">
        <v>3</v>
      </c>
      <c r="F30" s="29">
        <f>10^(D30/10)</f>
        <v>10</v>
      </c>
      <c r="G30" s="29"/>
      <c r="H30" s="7"/>
    </row>
    <row r="31" spans="1:8" s="64" customFormat="1" ht="24">
      <c r="A31" s="179"/>
      <c r="B31" s="175" t="s">
        <v>259</v>
      </c>
      <c r="C31" s="176" t="e">
        <f>#REF!</f>
        <v>#REF!</v>
      </c>
      <c r="D31" s="180">
        <f>'OH -MC 16QAM'!C6/'OH -MC 16QAM'!C1</f>
        <v>43179426.728933506</v>
      </c>
      <c r="E31" s="177" t="s">
        <v>47</v>
      </c>
      <c r="F31" s="178"/>
      <c r="H31" s="181"/>
    </row>
    <row r="32" spans="1:8">
      <c r="A32" s="166" t="s">
        <v>258</v>
      </c>
      <c r="B32" s="12"/>
      <c r="C32" s="15" t="e">
        <f>10*LOG10(C31)</f>
        <v>#REF!</v>
      </c>
      <c r="D32" s="158">
        <f>10*LOG10(D31)</f>
        <v>76.352768721317574</v>
      </c>
      <c r="E32" s="14" t="s">
        <v>7</v>
      </c>
      <c r="F32" s="18"/>
    </row>
    <row r="33" spans="1:7">
      <c r="A33" s="185" t="s">
        <v>100</v>
      </c>
      <c r="B33" s="12"/>
      <c r="C33" s="15">
        <v>1</v>
      </c>
      <c r="D33" s="158">
        <v>1</v>
      </c>
      <c r="E33" s="14" t="s">
        <v>3</v>
      </c>
      <c r="F33" s="18"/>
    </row>
    <row r="34" spans="1:7">
      <c r="A34" s="166" t="s">
        <v>166</v>
      </c>
      <c r="B34" s="12" t="s">
        <v>98</v>
      </c>
      <c r="C34" s="43">
        <f>'Req EbNo values'!$C$8</f>
        <v>14</v>
      </c>
      <c r="D34" s="173">
        <f>'Req EbNo values'!$C$9</f>
        <v>6.5</v>
      </c>
      <c r="E34" s="14" t="s">
        <v>3</v>
      </c>
      <c r="F34" s="18"/>
    </row>
    <row r="35" spans="1:7">
      <c r="A35" s="166" t="s">
        <v>113</v>
      </c>
      <c r="B35" s="12"/>
      <c r="C35" s="15">
        <v>2</v>
      </c>
      <c r="D35" s="151">
        <v>2</v>
      </c>
      <c r="E35" s="14" t="s">
        <v>3</v>
      </c>
      <c r="F35" s="18"/>
    </row>
    <row r="36" spans="1:7">
      <c r="A36" s="167" t="s">
        <v>85</v>
      </c>
      <c r="B36" s="39"/>
      <c r="C36" s="40">
        <v>1</v>
      </c>
      <c r="D36" s="162">
        <v>1</v>
      </c>
      <c r="E36" s="41" t="s">
        <v>3</v>
      </c>
      <c r="F36" s="18"/>
    </row>
    <row r="37" spans="1:7" ht="13" thickBot="1">
      <c r="A37" s="168" t="s">
        <v>49</v>
      </c>
      <c r="B37" s="16"/>
      <c r="C37" s="46" t="e">
        <f>C4-C9-C12-C13+C14-C26-C28-C32-C34-C35-C8-C33-C36</f>
        <v>#REF!</v>
      </c>
      <c r="D37" s="163">
        <f>D4-D8-D9-D12-D13+D14-D26-D27-D28-D32-D33-D34-D35-D36</f>
        <v>0.13303901373440397</v>
      </c>
      <c r="E37" s="17" t="s">
        <v>3</v>
      </c>
      <c r="F37" s="57">
        <f>D42-D48</f>
        <v>0.15580985673632597</v>
      </c>
    </row>
    <row r="38" spans="1:7" ht="13" thickBot="1">
      <c r="A38" s="32" t="s">
        <v>62</v>
      </c>
      <c r="B38" s="33">
        <v>0.88</v>
      </c>
      <c r="C38" s="34"/>
      <c r="D38" s="74"/>
      <c r="E38" s="36"/>
      <c r="F38" s="18"/>
    </row>
    <row r="39" spans="1:7" ht="13" thickBot="1">
      <c r="A39" s="32" t="s">
        <v>63</v>
      </c>
      <c r="B39" s="33"/>
      <c r="C39" s="31" t="e">
        <f>IF((1/(10^((C37+C8)/10))-1-B38^2)/(2*B38)&lt;-1, 1, IF((1/(10^((C37+C8)/10))-1-B38^2)/(2*B38)&gt;1, 0, 1/PI()*ACOS((1/(10^(((C37+C8))/10))-1-B38^2)/(2*B38))))</f>
        <v>#REF!</v>
      </c>
      <c r="D39" s="31">
        <f>IF((1/(10^((D37+D8)/10))-1-B38^2)/(2*B38)&lt;-1, 1, IF((1/(10^((D37+D8)/10))-1-B38^2)/(2*B38)&gt;1, 0, 1/PI()*ACOS((1/(10^(((D37+D8))/10))-1-B38^2)/(2*B38))))</f>
        <v>0.76141637455818467</v>
      </c>
    </row>
    <row r="40" spans="1:7" ht="13" thickBot="1"/>
    <row r="41" spans="1:7">
      <c r="A41" s="2" t="s">
        <v>138</v>
      </c>
      <c r="B41" s="3"/>
      <c r="C41" s="221" t="e">
        <f>10*LOG(1000*#REF!)+#REF!-C8-C9-C13</f>
        <v>#REF!</v>
      </c>
      <c r="D41" s="222">
        <f>10*LOG(1000*10^(D4/10))-D8-D9-D13</f>
        <v>-113.7658234711169</v>
      </c>
      <c r="E41" s="4" t="s">
        <v>50</v>
      </c>
    </row>
    <row r="42" spans="1:7">
      <c r="A42" s="223" t="s">
        <v>136</v>
      </c>
      <c r="B42" s="1"/>
      <c r="C42" s="219" t="e">
        <f>C41+#REF!-C26-C27-C28</f>
        <v>#REF!</v>
      </c>
      <c r="D42" s="153">
        <f>D41+B17-D26-D28-B20-B24</f>
        <v>-87.959389475184011</v>
      </c>
      <c r="E42" s="6" t="s">
        <v>50</v>
      </c>
      <c r="G42" s="47"/>
    </row>
    <row r="43" spans="1:7">
      <c r="A43" s="5" t="s">
        <v>135</v>
      </c>
      <c r="B43" s="1"/>
      <c r="C43" s="1">
        <f>-172</f>
        <v>-172</v>
      </c>
      <c r="D43" s="150">
        <f>-174+10*LOG(B25/290)</f>
        <v>-174.96796805323791</v>
      </c>
      <c r="E43" s="6" t="s">
        <v>107</v>
      </c>
      <c r="G43" s="29"/>
    </row>
    <row r="44" spans="1:7">
      <c r="A44" s="5" t="s">
        <v>165</v>
      </c>
      <c r="B44" s="1" t="s">
        <v>167</v>
      </c>
      <c r="C44" s="218" t="e">
        <f>C34+10*LOG('[1]DR &amp; overhead -SC (threshold)'!$G$45/'[1]DR &amp; overhead -SC (threshold)'!$G$47)+C33+C35+C36</f>
        <v>#REF!</v>
      </c>
      <c r="D44" s="150">
        <f>'Req EbNo values'!C8</f>
        <v>14</v>
      </c>
      <c r="E44" s="6" t="s">
        <v>60</v>
      </c>
      <c r="G44" s="29"/>
    </row>
    <row r="45" spans="1:7" hidden="1">
      <c r="A45" s="223" t="s">
        <v>111</v>
      </c>
      <c r="B45" s="1"/>
      <c r="C45" s="219" t="e">
        <f>C42-C43-10*LOG(#REF!)-C44</f>
        <v>#REF!</v>
      </c>
      <c r="D45" s="153" t="e">
        <f>10*LOG(F19*F20*F29*(G25-(1+(B23/B22)*(1/F24-1))-(1+(B22/B22)*(1/F20-1))-(F18-1)/F20-((1+(B22/B22)*(1/F29-1))-1)/(F20*F19))+1)</f>
        <v>#NUM!</v>
      </c>
      <c r="E45" s="6" t="s">
        <v>3</v>
      </c>
    </row>
    <row r="46" spans="1:7">
      <c r="A46" s="5" t="s">
        <v>150</v>
      </c>
      <c r="B46" s="220"/>
      <c r="C46" s="1"/>
      <c r="D46" s="151">
        <f>D30</f>
        <v>10</v>
      </c>
      <c r="E46" s="6" t="s">
        <v>3</v>
      </c>
    </row>
    <row r="47" spans="1:7" hidden="1">
      <c r="A47" s="5" t="s">
        <v>168</v>
      </c>
      <c r="B47" s="292"/>
      <c r="C47" s="1"/>
      <c r="D47" s="151" t="e">
        <f>#REF!*10^6</f>
        <v>#REF!</v>
      </c>
      <c r="E47" s="6" t="s">
        <v>47</v>
      </c>
    </row>
    <row r="48" spans="1:7" ht="25" thickBot="1">
      <c r="A48" s="275" t="s">
        <v>141</v>
      </c>
      <c r="B48" s="305" t="s">
        <v>167</v>
      </c>
      <c r="C48" s="1"/>
      <c r="D48" s="277">
        <f>D43+D34+D33+D35+D36+10*LOG(D49)</f>
        <v>-88.115199331920337</v>
      </c>
      <c r="E48" s="123" t="s">
        <v>50</v>
      </c>
      <c r="G48" s="129">
        <f>D43+D34+D33+D35+D36</f>
        <v>-164.46796805323791</v>
      </c>
    </row>
    <row r="49" spans="1:7">
      <c r="A49" s="288" t="s">
        <v>258</v>
      </c>
      <c r="B49" s="291"/>
      <c r="C49" s="1"/>
      <c r="D49" s="290">
        <f>D31</f>
        <v>43179426.728933506</v>
      </c>
      <c r="E49" s="87" t="s">
        <v>47</v>
      </c>
    </row>
    <row r="50" spans="1:7" s="60" customFormat="1" ht="13" hidden="1" thickBot="1">
      <c r="A50" s="285" t="s">
        <v>148</v>
      </c>
      <c r="B50" s="284"/>
      <c r="C50" s="276"/>
      <c r="D50" s="303">
        <f>10*LOG((1+(B23/B22)*(1/F24-1))+((1+(B22/B22)*(1/F20-1))-1)/F24+(F18-1)/(F24*F20)+((1+(B22/B22)*(1/F29-1))-1)/(F24*F20*F19)+(F30-1)/(F24*F20*F19*F29))</f>
        <v>1.6398444022525003</v>
      </c>
      <c r="E50" s="226" t="s">
        <v>3</v>
      </c>
    </row>
    <row r="51" spans="1:7" hidden="1">
      <c r="A51" s="285" t="s">
        <v>170</v>
      </c>
      <c r="B51" s="284"/>
      <c r="C51" s="53"/>
      <c r="D51" s="152">
        <f>D52+10*LOG('Req EbNo values'!C2*'Req EbNo values'!D8)</f>
        <v>10.759687322722812</v>
      </c>
      <c r="E51" s="14" t="s">
        <v>3</v>
      </c>
      <c r="G51" s="29"/>
    </row>
    <row r="52" spans="1:7">
      <c r="A52" s="185" t="s">
        <v>166</v>
      </c>
      <c r="B52" s="1" t="s">
        <v>167</v>
      </c>
      <c r="D52" s="152">
        <f>D34</f>
        <v>6.5</v>
      </c>
      <c r="E52" s="14" t="s">
        <v>3</v>
      </c>
      <c r="G52" s="29"/>
    </row>
    <row r="53" spans="1:7" ht="25" thickBot="1">
      <c r="A53" s="275" t="s">
        <v>144</v>
      </c>
      <c r="B53" s="304" t="s">
        <v>164</v>
      </c>
      <c r="D53" s="277">
        <f>D46-174+D34+10*LOG(D49)+D33+D35+D36</f>
        <v>-77.147231278682426</v>
      </c>
      <c r="E53" s="123" t="s">
        <v>50</v>
      </c>
      <c r="F53" s="129">
        <f>D53-D48</f>
        <v>10.967968053237911</v>
      </c>
      <c r="G53" s="129">
        <f>D46-174+D34+D33+D35+D36</f>
        <v>-153.5</v>
      </c>
    </row>
    <row r="54" spans="1:7">
      <c r="F54" s="47"/>
      <c r="G54" s="29"/>
    </row>
    <row r="55" spans="1:7">
      <c r="B55" s="50"/>
    </row>
    <row r="56" spans="1:7">
      <c r="B56" s="50"/>
    </row>
    <row r="57" spans="1:7">
      <c r="B57" s="50"/>
    </row>
    <row r="58" spans="1:7">
      <c r="B58" s="50"/>
    </row>
    <row r="59" spans="1:7">
      <c r="B59" s="50"/>
    </row>
    <row r="60" spans="1:7">
      <c r="B60" s="50"/>
    </row>
    <row r="61" spans="1:7">
      <c r="B61" s="50"/>
    </row>
    <row r="62" spans="1:7">
      <c r="B62" s="50"/>
    </row>
    <row r="63" spans="1:7">
      <c r="B63" s="50"/>
    </row>
    <row r="64" spans="1:7">
      <c r="B64" s="50"/>
    </row>
    <row r="65" spans="2:2">
      <c r="B65" s="50"/>
    </row>
    <row r="66" spans="2:2">
      <c r="B66" s="50"/>
    </row>
    <row r="67" spans="2:2">
      <c r="B67" s="50"/>
    </row>
    <row r="68" spans="2:2">
      <c r="B68" s="50"/>
    </row>
    <row r="69" spans="2:2">
      <c r="B69" s="50"/>
    </row>
    <row r="70" spans="2:2">
      <c r="B70" s="50"/>
    </row>
    <row r="71" spans="2:2">
      <c r="B71" s="50"/>
    </row>
    <row r="72" spans="2:2">
      <c r="B72" s="50"/>
    </row>
    <row r="73" spans="2:2">
      <c r="B73" s="50"/>
    </row>
    <row r="74" spans="2:2">
      <c r="B74" s="50"/>
    </row>
    <row r="75" spans="2:2">
      <c r="B75" s="50"/>
    </row>
    <row r="76" spans="2:2">
      <c r="B76" s="50"/>
    </row>
    <row r="77" spans="2:2">
      <c r="B77" s="50"/>
    </row>
    <row r="78" spans="2:2">
      <c r="B78" s="50"/>
    </row>
    <row r="79" spans="2:2">
      <c r="B79" s="50"/>
    </row>
    <row r="80" spans="2:2">
      <c r="B80" s="50"/>
    </row>
    <row r="81" spans="2:2">
      <c r="B81" s="50"/>
    </row>
    <row r="82" spans="2:2">
      <c r="B82" s="50"/>
    </row>
    <row r="83" spans="2:2">
      <c r="B83" s="50"/>
    </row>
    <row r="84" spans="2:2">
      <c r="B84" s="50"/>
    </row>
    <row r="85" spans="2:2">
      <c r="B85" s="50"/>
    </row>
    <row r="86" spans="2:2">
      <c r="B86" s="50"/>
    </row>
    <row r="87" spans="2:2">
      <c r="B87" s="50"/>
    </row>
    <row r="88" spans="2:2">
      <c r="B88" s="50"/>
    </row>
    <row r="89" spans="2:2">
      <c r="B89" s="50"/>
    </row>
    <row r="90" spans="2:2">
      <c r="B90" s="50"/>
    </row>
    <row r="91" spans="2:2">
      <c r="B91" s="50"/>
    </row>
    <row r="92" spans="2:2">
      <c r="B92" s="50"/>
    </row>
    <row r="93" spans="2:2">
      <c r="B93" s="50"/>
    </row>
    <row r="94" spans="2:2">
      <c r="B94" s="50"/>
    </row>
    <row r="95" spans="2:2">
      <c r="B95" s="50"/>
    </row>
    <row r="96" spans="2:2">
      <c r="B96" s="50"/>
    </row>
    <row r="97" spans="2:2">
      <c r="B97" s="50"/>
    </row>
    <row r="98" spans="2:2">
      <c r="B98" s="50"/>
    </row>
    <row r="99" spans="2:2">
      <c r="B99" s="50"/>
    </row>
    <row r="100" spans="2:2">
      <c r="B100" s="50"/>
    </row>
    <row r="101" spans="2:2">
      <c r="B101" s="50"/>
    </row>
    <row r="102" spans="2:2">
      <c r="B102" s="50"/>
    </row>
    <row r="103" spans="2:2">
      <c r="B103" s="50"/>
    </row>
    <row r="104" spans="2:2">
      <c r="B104" s="50"/>
    </row>
    <row r="105" spans="2:2">
      <c r="B105" s="50"/>
    </row>
    <row r="106" spans="2:2">
      <c r="B106" s="50"/>
    </row>
    <row r="107" spans="2:2">
      <c r="B107" s="50"/>
    </row>
    <row r="108" spans="2:2">
      <c r="B108" s="50"/>
    </row>
    <row r="109" spans="2:2">
      <c r="B109" s="50"/>
    </row>
    <row r="110" spans="2:2">
      <c r="B110" s="50"/>
    </row>
    <row r="111" spans="2:2">
      <c r="B111" s="50"/>
    </row>
    <row r="112" spans="2:2">
      <c r="B112" s="50"/>
    </row>
    <row r="113" spans="2:2">
      <c r="B113" s="50"/>
    </row>
    <row r="114" spans="2:2">
      <c r="B114" s="50"/>
    </row>
    <row r="115" spans="2:2">
      <c r="B115" s="50"/>
    </row>
    <row r="116" spans="2:2">
      <c r="B116" s="50"/>
    </row>
    <row r="117" spans="2:2">
      <c r="B117" s="50"/>
    </row>
    <row r="118" spans="2:2">
      <c r="B118" s="50"/>
    </row>
    <row r="119" spans="2:2">
      <c r="B119" s="50"/>
    </row>
    <row r="120" spans="2:2">
      <c r="B120" s="50"/>
    </row>
    <row r="121" spans="2:2">
      <c r="B121" s="50"/>
    </row>
    <row r="122" spans="2:2">
      <c r="B122" s="50"/>
    </row>
    <row r="123" spans="2:2">
      <c r="B123" s="50"/>
    </row>
    <row r="124" spans="2:2">
      <c r="B124" s="50"/>
    </row>
    <row r="125" spans="2:2">
      <c r="B125" s="50"/>
    </row>
    <row r="126" spans="2:2">
      <c r="B126" s="50"/>
    </row>
    <row r="127" spans="2:2">
      <c r="B127" s="50"/>
    </row>
    <row r="128" spans="2:2">
      <c r="B128" s="50"/>
    </row>
    <row r="129" spans="2:2">
      <c r="B129" s="50"/>
    </row>
    <row r="130" spans="2:2">
      <c r="B130" s="50"/>
    </row>
    <row r="131" spans="2:2">
      <c r="B131" s="50"/>
    </row>
    <row r="132" spans="2:2">
      <c r="B132" s="50"/>
    </row>
    <row r="133" spans="2:2">
      <c r="B133" s="50"/>
    </row>
    <row r="134" spans="2:2">
      <c r="B134" s="50"/>
    </row>
    <row r="135" spans="2:2">
      <c r="B135" s="50"/>
    </row>
    <row r="136" spans="2:2">
      <c r="B136" s="50"/>
    </row>
    <row r="137" spans="2:2">
      <c r="B137" s="50"/>
    </row>
    <row r="138" spans="2:2">
      <c r="B138" s="50"/>
    </row>
    <row r="139" spans="2:2">
      <c r="B139" s="50"/>
    </row>
    <row r="140" spans="2:2">
      <c r="B140" s="50"/>
    </row>
    <row r="141" spans="2:2">
      <c r="B141" s="50"/>
    </row>
    <row r="142" spans="2:2">
      <c r="B142" s="50"/>
    </row>
    <row r="143" spans="2:2">
      <c r="B143" s="50"/>
    </row>
    <row r="144" spans="2:2">
      <c r="B144" s="50"/>
    </row>
    <row r="145" spans="2:2">
      <c r="B145" s="50"/>
    </row>
    <row r="146" spans="2:2">
      <c r="B146" s="50"/>
    </row>
    <row r="147" spans="2:2">
      <c r="B147" s="50"/>
    </row>
    <row r="148" spans="2:2">
      <c r="B148" s="50"/>
    </row>
    <row r="149" spans="2:2">
      <c r="B149" s="50"/>
    </row>
    <row r="150" spans="2:2">
      <c r="B150" s="50"/>
    </row>
    <row r="151" spans="2:2">
      <c r="B151" s="50"/>
    </row>
    <row r="152" spans="2:2">
      <c r="B152" s="50"/>
    </row>
    <row r="153" spans="2:2">
      <c r="B153" s="50"/>
    </row>
    <row r="154" spans="2:2">
      <c r="B154" s="50"/>
    </row>
    <row r="155" spans="2:2">
      <c r="B155" s="50"/>
    </row>
    <row r="156" spans="2:2">
      <c r="B156" s="50"/>
    </row>
    <row r="157" spans="2:2">
      <c r="B157" s="50"/>
    </row>
    <row r="158" spans="2:2">
      <c r="B158" s="50"/>
    </row>
    <row r="159" spans="2:2">
      <c r="B159" s="50"/>
    </row>
    <row r="160" spans="2:2">
      <c r="B160" s="50"/>
    </row>
    <row r="161" spans="2:2">
      <c r="B161" s="50"/>
    </row>
    <row r="162" spans="2:2">
      <c r="B162" s="50"/>
    </row>
    <row r="163" spans="2:2">
      <c r="B163" s="50"/>
    </row>
    <row r="164" spans="2:2">
      <c r="B164" s="50"/>
    </row>
    <row r="165" spans="2:2">
      <c r="B165" s="50"/>
    </row>
    <row r="166" spans="2:2">
      <c r="B166" s="50"/>
    </row>
    <row r="167" spans="2:2">
      <c r="B167" s="50"/>
    </row>
    <row r="168" spans="2:2">
      <c r="B168" s="50"/>
    </row>
    <row r="169" spans="2:2">
      <c r="B169" s="50"/>
    </row>
  </sheetData>
  <phoneticPr fontId="2" type="noConversion"/>
  <pageMargins left="0.75" right="0.75" top="1" bottom="1" header="0.5" footer="0.5"/>
  <pageSetup orientation="portrait"/>
  <headerFooter alignWithMargins="0"/>
  <drawing r:id="rId1"/>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12</vt:i4>
      </vt:variant>
    </vt:vector>
  </HeadingPairs>
  <TitlesOfParts>
    <vt:vector size="12" baseType="lpstr">
      <vt:lpstr>OH -SC SOQPSK (threshold)</vt:lpstr>
      <vt:lpstr>CH parameters</vt:lpstr>
      <vt:lpstr>TA -&gt; GS (SC-SOQPSK)</vt:lpstr>
      <vt:lpstr>GS-&gt;TA (same CH, w UL LNA)</vt:lpstr>
      <vt:lpstr>OH -SC (objective)</vt:lpstr>
      <vt:lpstr>Req EbNo values</vt:lpstr>
      <vt:lpstr>BACKUP</vt:lpstr>
      <vt:lpstr>GS-&gt;TA (same CH, no UL LNA)</vt:lpstr>
      <vt:lpstr>TA -&gt; GS (MC-QAM)</vt:lpstr>
      <vt:lpstr>TA -&gt; GS (MC-QPSK)</vt:lpstr>
      <vt:lpstr>OH -MC 16QAM</vt:lpstr>
      <vt:lpstr>OH -MC QPSK</vt:lpstr>
    </vt:vector>
  </TitlesOfParts>
  <Company>LinQuest Corp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william.walsh</dc:creator>
  <cp:lastModifiedBy>Ben Abbott</cp:lastModifiedBy>
  <cp:lastPrinted>2008-06-27T23:07:45Z</cp:lastPrinted>
  <dcterms:created xsi:type="dcterms:W3CDTF">2007-12-11T16:46:49Z</dcterms:created>
  <dcterms:modified xsi:type="dcterms:W3CDTF">2012-02-07T17:17:08Z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niqueReference">
    <vt:lpwstr>Doc-0084</vt:lpwstr>
  </property>
</Properties>
</file>